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 Investing-Portfolio\Stock analysis\"/>
    </mc:Choice>
  </mc:AlternateContent>
  <xr:revisionPtr revIDLastSave="0" documentId="13_ncr:1_{95BC9443-40BB-4E29-BAE9-0EDFD789317A}" xr6:coauthVersionLast="47" xr6:coauthVersionMax="47" xr10:uidLastSave="{00000000-0000-0000-0000-000000000000}"/>
  <bookViews>
    <workbookView xWindow="-120" yWindow="-120" windowWidth="29040" windowHeight="15840" xr2:uid="{78523A0C-3EFC-4424-BD76-E39280954CB7}"/>
  </bookViews>
  <sheets>
    <sheet name="Valuation" sheetId="17" r:id="rId1"/>
    <sheet name="DCF" sheetId="18" r:id="rId2"/>
    <sheet name="FSM" sheetId="16" r:id="rId3"/>
    <sheet name="IS" sheetId="2" r:id="rId4"/>
    <sheet name="BS" sheetId="3" r:id="rId5"/>
    <sheet name="CFS" sheetId="4" r:id="rId6"/>
    <sheet name="Ratios" sheetId="5" r:id="rId7"/>
  </sheets>
  <externalReferences>
    <externalReference r:id="rId8"/>
  </externalReferences>
  <calcPr calcId="191029" calcMode="autoNoTable" iterate="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3" i="16" l="1"/>
  <c r="J83" i="16"/>
  <c r="K83" i="16"/>
  <c r="L83" i="16"/>
  <c r="M83" i="16"/>
  <c r="N83" i="16"/>
  <c r="O83" i="16"/>
  <c r="H83" i="16"/>
  <c r="G83" i="16"/>
  <c r="F83" i="16"/>
  <c r="J3" i="18"/>
  <c r="K3" i="17"/>
  <c r="H8" i="18"/>
  <c r="O105" i="17"/>
  <c r="B1" i="18" l="1"/>
  <c r="B1" i="17"/>
  <c r="C98" i="18" l="1" a="1"/>
  <c r="C98" i="18" s="1"/>
  <c r="B97" i="18"/>
  <c r="E98" i="18" a="1"/>
  <c r="E98" i="18" s="1"/>
  <c r="E96" i="18"/>
  <c r="C96" i="18"/>
  <c r="E97" i="18"/>
  <c r="C97" i="18"/>
  <c r="H90" i="18"/>
  <c r="H91" i="18" s="1"/>
  <c r="H88" i="18"/>
  <c r="H87" i="18" s="1"/>
  <c r="G87" i="18"/>
  <c r="L86" i="18"/>
  <c r="M86" i="18" s="1"/>
  <c r="J86" i="18"/>
  <c r="I86" i="18" s="1"/>
  <c r="H81" i="18"/>
  <c r="H82" i="18" s="1"/>
  <c r="H79" i="18"/>
  <c r="H78" i="18" s="1"/>
  <c r="G78" i="18"/>
  <c r="L77" i="18"/>
  <c r="M77" i="18" s="1"/>
  <c r="J77" i="18"/>
  <c r="I77" i="18" s="1"/>
  <c r="B96" i="18" s="1"/>
  <c r="K78" i="17"/>
  <c r="L78" i="17" s="1"/>
  <c r="M78" i="17" s="1"/>
  <c r="N78" i="17" s="1"/>
  <c r="O78" i="17" s="1"/>
  <c r="O39" i="17" s="1"/>
  <c r="O93" i="17"/>
  <c r="O61" i="17"/>
  <c r="C61" i="18"/>
  <c r="C56" i="18"/>
  <c r="D98" i="18" l="1"/>
  <c r="D97" i="18"/>
  <c r="D96" i="18"/>
  <c r="E21" i="18"/>
  <c r="C6" i="18"/>
  <c r="D36" i="18" s="1"/>
  <c r="C54" i="18"/>
  <c r="B2" i="18"/>
  <c r="C11" i="18" l="1"/>
  <c r="B34" i="18"/>
  <c r="C64" i="18"/>
  <c r="C69" i="18" s="1"/>
  <c r="D69" i="18" s="1"/>
  <c r="E103" i="16" l="1"/>
  <c r="D103" i="16"/>
  <c r="C103" i="16"/>
  <c r="D101" i="16"/>
  <c r="D104" i="16" s="1"/>
  <c r="E101" i="16"/>
  <c r="C101" i="16"/>
  <c r="E104" i="16" l="1"/>
  <c r="G119" i="17" l="1"/>
  <c r="H119" i="17" s="1"/>
  <c r="I119" i="17" s="1"/>
  <c r="J119" i="17" s="1"/>
  <c r="K119" i="17" s="1"/>
  <c r="L119" i="17" s="1"/>
  <c r="M119" i="17" s="1"/>
  <c r="N119" i="17" s="1"/>
  <c r="O119" i="17" s="1"/>
  <c r="O115" i="17" s="1"/>
  <c r="G118" i="17"/>
  <c r="H118" i="17" s="1"/>
  <c r="I118" i="17" s="1"/>
  <c r="J118" i="17" s="1"/>
  <c r="K118" i="17" s="1"/>
  <c r="L118" i="17" s="1"/>
  <c r="M118" i="17" s="1"/>
  <c r="N118" i="17" s="1"/>
  <c r="O118" i="17" s="1"/>
  <c r="G117" i="17"/>
  <c r="H117" i="17" s="1"/>
  <c r="I117" i="17" s="1"/>
  <c r="J117" i="17" s="1"/>
  <c r="K117" i="17" s="1"/>
  <c r="L117" i="17" s="1"/>
  <c r="M117" i="17" s="1"/>
  <c r="N117" i="17" s="1"/>
  <c r="O117" i="17" s="1"/>
  <c r="O113" i="17" s="1"/>
  <c r="E114" i="17"/>
  <c r="E118" i="17" s="1"/>
  <c r="D114" i="17"/>
  <c r="D118" i="17" s="1"/>
  <c r="C114" i="17"/>
  <c r="C118" i="17" s="1"/>
  <c r="G69" i="17" l="1"/>
  <c r="G34" i="17" s="1"/>
  <c r="G70" i="17"/>
  <c r="G35" i="17" s="1"/>
  <c r="H70" i="17"/>
  <c r="H35" i="17" s="1"/>
  <c r="I70" i="17"/>
  <c r="I35" i="17" s="1"/>
  <c r="D178" i="16"/>
  <c r="E178" i="16"/>
  <c r="C178" i="16"/>
  <c r="E177" i="16"/>
  <c r="D177" i="16"/>
  <c r="C177" i="16"/>
  <c r="B14" i="2"/>
  <c r="C14" i="2"/>
  <c r="D14" i="2"/>
  <c r="D175" i="16"/>
  <c r="E175" i="16"/>
  <c r="C175" i="16"/>
  <c r="D174" i="16"/>
  <c r="E174" i="16"/>
  <c r="C174" i="16"/>
  <c r="O94" i="17"/>
  <c r="O92" i="17"/>
  <c r="F92" i="17"/>
  <c r="F94" i="17"/>
  <c r="G97" i="17"/>
  <c r="H97" i="17" s="1"/>
  <c r="I97" i="17" s="1"/>
  <c r="J97" i="17" s="1"/>
  <c r="K97" i="17" s="1"/>
  <c r="L97" i="17" s="1"/>
  <c r="M97" i="17" s="1"/>
  <c r="N97" i="17" s="1"/>
  <c r="O97" i="17" s="1"/>
  <c r="O121" i="17" s="1"/>
  <c r="G99" i="17"/>
  <c r="H99" i="17" s="1"/>
  <c r="I99" i="17" s="1"/>
  <c r="J99" i="17" s="1"/>
  <c r="K99" i="17" s="1"/>
  <c r="L99" i="17" s="1"/>
  <c r="M99" i="17" s="1"/>
  <c r="N99" i="17" s="1"/>
  <c r="O99" i="17" s="1"/>
  <c r="O123" i="17" s="1"/>
  <c r="G98" i="17"/>
  <c r="H98" i="17" s="1"/>
  <c r="I98" i="17" s="1"/>
  <c r="J98" i="17" s="1"/>
  <c r="K98" i="17" s="1"/>
  <c r="L98" i="17" s="1"/>
  <c r="M98" i="17" s="1"/>
  <c r="N98" i="17" s="1"/>
  <c r="O98" i="17" s="1"/>
  <c r="F95" i="17"/>
  <c r="G95" i="17" s="1"/>
  <c r="H95" i="17" s="1"/>
  <c r="I95" i="17" s="1"/>
  <c r="J95" i="17" s="1"/>
  <c r="K95" i="17" s="1"/>
  <c r="L95" i="17" s="1"/>
  <c r="M95" i="17" s="1"/>
  <c r="N95" i="17" s="1"/>
  <c r="O95" i="17" s="1"/>
  <c r="F93" i="17"/>
  <c r="I77" i="17"/>
  <c r="J77" i="17" s="1"/>
  <c r="K77" i="17" s="1"/>
  <c r="L77" i="17" s="1"/>
  <c r="M77" i="17" s="1"/>
  <c r="N77" i="17" s="1"/>
  <c r="O77" i="17" s="1"/>
  <c r="H76" i="17"/>
  <c r="I76" i="17" s="1"/>
  <c r="J76" i="17" s="1"/>
  <c r="K76" i="17" s="1"/>
  <c r="L76" i="17" s="1"/>
  <c r="M76" i="17" s="1"/>
  <c r="N76" i="17" s="1"/>
  <c r="O76" i="17" s="1"/>
  <c r="O37" i="17" s="1"/>
  <c r="R90" i="17"/>
  <c r="G90" i="17" s="1"/>
  <c r="H90" i="17" s="1"/>
  <c r="I90" i="17" s="1"/>
  <c r="R88" i="17"/>
  <c r="G88" i="17" s="1"/>
  <c r="H88" i="17" s="1"/>
  <c r="I88" i="17" s="1"/>
  <c r="J88" i="17" s="1"/>
  <c r="K88" i="17" s="1"/>
  <c r="L88" i="17" s="1"/>
  <c r="M88" i="17" s="1"/>
  <c r="N88" i="17" s="1"/>
  <c r="R86" i="17"/>
  <c r="G86" i="17" s="1"/>
  <c r="H86" i="17" s="1"/>
  <c r="I86" i="17" s="1"/>
  <c r="J86" i="17" s="1"/>
  <c r="K86" i="17" s="1"/>
  <c r="L86" i="17" s="1"/>
  <c r="M86" i="17" s="1"/>
  <c r="N86" i="17" s="1"/>
  <c r="R66" i="17"/>
  <c r="F66" i="17" s="1"/>
  <c r="G66" i="17" s="1"/>
  <c r="H66" i="17" s="1"/>
  <c r="I66" i="17" s="1"/>
  <c r="J66" i="17" s="1"/>
  <c r="K66" i="17" s="1"/>
  <c r="L66" i="17" s="1"/>
  <c r="M66" i="17" s="1"/>
  <c r="N66" i="17" s="1"/>
  <c r="R82" i="17"/>
  <c r="K82" i="17" s="1"/>
  <c r="L82" i="17" s="1"/>
  <c r="M82" i="17" s="1"/>
  <c r="N82" i="17" s="1"/>
  <c r="F16" i="17"/>
  <c r="O31" i="17"/>
  <c r="O29" i="17"/>
  <c r="O65" i="17"/>
  <c r="R65" i="17" s="1"/>
  <c r="F65" i="17" s="1"/>
  <c r="G65" i="17" s="1"/>
  <c r="H65" i="17" s="1"/>
  <c r="I65" i="17" s="1"/>
  <c r="J65" i="17" s="1"/>
  <c r="K65" i="17" s="1"/>
  <c r="L65" i="17" s="1"/>
  <c r="M65" i="17" s="1"/>
  <c r="N65" i="17" s="1"/>
  <c r="O114" i="17"/>
  <c r="R64" i="17"/>
  <c r="F64" i="17" s="1"/>
  <c r="G64" i="17" s="1"/>
  <c r="H64" i="17" s="1"/>
  <c r="I64" i="17" s="1"/>
  <c r="J64" i="17" s="1"/>
  <c r="K64" i="17" s="1"/>
  <c r="L64" i="17" s="1"/>
  <c r="M64" i="17" s="1"/>
  <c r="N64" i="17" s="1"/>
  <c r="O27" i="17"/>
  <c r="O25" i="17"/>
  <c r="O122" i="17" l="1"/>
  <c r="O42" i="17"/>
  <c r="J90" i="17"/>
  <c r="K90" i="17" s="1"/>
  <c r="L90" i="17" s="1"/>
  <c r="M90" i="17" s="1"/>
  <c r="N90" i="17" s="1"/>
  <c r="O45" i="17"/>
  <c r="O47" i="17"/>
  <c r="R93" i="17"/>
  <c r="O38" i="17"/>
  <c r="R80" i="17"/>
  <c r="H80" i="17" s="1"/>
  <c r="O20" i="17" l="1"/>
  <c r="O95" i="16" s="1"/>
  <c r="I80" i="17"/>
  <c r="J80" i="17" l="1"/>
  <c r="K80" i="17" l="1"/>
  <c r="L80" i="17" l="1"/>
  <c r="M80" i="17" l="1"/>
  <c r="N80" i="17" l="1"/>
  <c r="O78" i="16"/>
  <c r="N26" i="18" s="1"/>
  <c r="B1" i="16"/>
  <c r="C5" i="17" a="1"/>
  <c r="C5" i="17" s="1"/>
  <c r="F182" i="16" s="1"/>
  <c r="G182" i="16" s="1"/>
  <c r="H182" i="16" s="1"/>
  <c r="I182" i="16" s="1"/>
  <c r="J182" i="16" s="1"/>
  <c r="K182" i="16" s="1"/>
  <c r="L182" i="16" s="1"/>
  <c r="M182" i="16" s="1"/>
  <c r="N182" i="16" s="1"/>
  <c r="O182" i="16" s="1"/>
  <c r="C6" i="17"/>
  <c r="C3" i="18" s="1"/>
  <c r="C7" i="17" a="1"/>
  <c r="C7" i="17" s="1"/>
  <c r="C71" i="18" s="1"/>
  <c r="D71" i="18" s="1"/>
  <c r="D11" i="18" l="1"/>
  <c r="E11" i="18" s="1"/>
  <c r="C4" i="18"/>
  <c r="D7" i="18" s="1"/>
  <c r="H4" i="18"/>
  <c r="O79" i="16"/>
  <c r="D157" i="16"/>
  <c r="E36" i="18" l="1"/>
  <c r="F11" i="18"/>
  <c r="G10" i="16"/>
  <c r="H10" i="16" l="1"/>
  <c r="F21" i="18"/>
  <c r="F36" i="18"/>
  <c r="G11" i="18"/>
  <c r="E28" i="16"/>
  <c r="D28" i="16"/>
  <c r="C28" i="16"/>
  <c r="I10" i="16" l="1"/>
  <c r="G21" i="18"/>
  <c r="H11" i="18"/>
  <c r="G36" i="18"/>
  <c r="O15" i="17"/>
  <c r="D96" i="16"/>
  <c r="E96" i="16"/>
  <c r="C106" i="16" s="1"/>
  <c r="C96" i="16"/>
  <c r="E95" i="16"/>
  <c r="D95" i="16"/>
  <c r="C95" i="16"/>
  <c r="J10" i="16" l="1"/>
  <c r="H21" i="18"/>
  <c r="I11" i="18"/>
  <c r="H36" i="18"/>
  <c r="O119" i="16"/>
  <c r="D33" i="16"/>
  <c r="D60" i="16"/>
  <c r="E60" i="16"/>
  <c r="C60" i="16"/>
  <c r="D57" i="16"/>
  <c r="E57" i="16"/>
  <c r="C57" i="16"/>
  <c r="D59" i="16"/>
  <c r="E59" i="16"/>
  <c r="F59" i="16" s="1"/>
  <c r="C59" i="16"/>
  <c r="D58" i="16"/>
  <c r="E58" i="16"/>
  <c r="C58" i="16"/>
  <c r="D54" i="16"/>
  <c r="E54" i="16"/>
  <c r="C54" i="16"/>
  <c r="D49" i="16"/>
  <c r="E49" i="16"/>
  <c r="C49" i="16"/>
  <c r="D53" i="16"/>
  <c r="E53" i="16"/>
  <c r="F53" i="16" s="1"/>
  <c r="C53" i="16"/>
  <c r="D52" i="16"/>
  <c r="E52" i="16"/>
  <c r="C52" i="16"/>
  <c r="D50" i="16"/>
  <c r="E50" i="16"/>
  <c r="C50" i="16"/>
  <c r="D48" i="16"/>
  <c r="E48" i="16"/>
  <c r="C48" i="16"/>
  <c r="D45" i="16"/>
  <c r="E45" i="16"/>
  <c r="C45" i="16"/>
  <c r="D40" i="16"/>
  <c r="E40" i="16"/>
  <c r="C40" i="16"/>
  <c r="D44" i="16"/>
  <c r="E44" i="16"/>
  <c r="C44" i="16"/>
  <c r="D42" i="16"/>
  <c r="E42" i="16"/>
  <c r="C42" i="16"/>
  <c r="D43" i="16"/>
  <c r="D97" i="16" s="1"/>
  <c r="E43" i="16"/>
  <c r="C43" i="16"/>
  <c r="C97" i="16" s="1"/>
  <c r="D41" i="16"/>
  <c r="E41" i="16"/>
  <c r="C41" i="16"/>
  <c r="D39" i="16"/>
  <c r="E39" i="16"/>
  <c r="F138" i="16" s="1"/>
  <c r="C39" i="16"/>
  <c r="K10" i="16" l="1"/>
  <c r="I21" i="18"/>
  <c r="D31" i="18"/>
  <c r="D161" i="16"/>
  <c r="E161" i="16"/>
  <c r="J11" i="18"/>
  <c r="I36" i="18"/>
  <c r="C161" i="16"/>
  <c r="G53" i="16"/>
  <c r="H53" i="16" s="1"/>
  <c r="I53" i="16" s="1"/>
  <c r="J53" i="16" s="1"/>
  <c r="F82" i="16"/>
  <c r="E131" i="16"/>
  <c r="D131" i="16"/>
  <c r="C131" i="16"/>
  <c r="D61" i="16"/>
  <c r="C61" i="16"/>
  <c r="E61" i="16"/>
  <c r="C55" i="16"/>
  <c r="C46" i="16"/>
  <c r="L10" i="16" l="1"/>
  <c r="J21" i="18"/>
  <c r="K11" i="18"/>
  <c r="J36" i="18"/>
  <c r="J82" i="16"/>
  <c r="K53" i="16"/>
  <c r="I82" i="16"/>
  <c r="H82" i="16"/>
  <c r="G82" i="16"/>
  <c r="C63" i="16"/>
  <c r="M10" i="16" l="1"/>
  <c r="K21" i="18"/>
  <c r="L11" i="18"/>
  <c r="K36" i="18"/>
  <c r="L53" i="16"/>
  <c r="K82" i="16"/>
  <c r="E33" i="16"/>
  <c r="C33" i="16"/>
  <c r="D31" i="16"/>
  <c r="D125" i="16" s="1"/>
  <c r="E31" i="16"/>
  <c r="D24" i="18" s="1"/>
  <c r="C31" i="16"/>
  <c r="C125" i="16" s="1"/>
  <c r="D27" i="16"/>
  <c r="E27" i="16"/>
  <c r="C27" i="16"/>
  <c r="N10" i="16" l="1"/>
  <c r="L21" i="18"/>
  <c r="M11" i="18"/>
  <c r="L36" i="18"/>
  <c r="M53" i="16"/>
  <c r="L82" i="16"/>
  <c r="D25" i="16"/>
  <c r="E25" i="16"/>
  <c r="C25" i="16"/>
  <c r="D24" i="16"/>
  <c r="E24" i="16"/>
  <c r="F24" i="16" s="1"/>
  <c r="G24" i="16" s="1"/>
  <c r="H24" i="16" s="1"/>
  <c r="I24" i="16" s="1"/>
  <c r="J24" i="16" s="1"/>
  <c r="K24" i="16" s="1"/>
  <c r="L24" i="16" s="1"/>
  <c r="M24" i="16" s="1"/>
  <c r="N24" i="16" s="1"/>
  <c r="O24" i="16" s="1"/>
  <c r="C24" i="16"/>
  <c r="D22" i="16"/>
  <c r="E22" i="16"/>
  <c r="C22" i="16"/>
  <c r="C166" i="16" s="1"/>
  <c r="D23" i="16"/>
  <c r="E23" i="16"/>
  <c r="C23" i="16"/>
  <c r="D19" i="16"/>
  <c r="E19" i="16"/>
  <c r="C19" i="16"/>
  <c r="D20" i="16"/>
  <c r="E20" i="16"/>
  <c r="C20" i="16"/>
  <c r="D17" i="16"/>
  <c r="E17" i="16"/>
  <c r="C17" i="16"/>
  <c r="D16" i="16"/>
  <c r="E16" i="16"/>
  <c r="D13" i="18" s="1"/>
  <c r="D32" i="18" s="1"/>
  <c r="C16" i="16"/>
  <c r="E14" i="16"/>
  <c r="E12" i="17" s="1"/>
  <c r="B171" i="16"/>
  <c r="B170" i="16"/>
  <c r="E157" i="16"/>
  <c r="B151" i="16"/>
  <c r="B150" i="16"/>
  <c r="E147" i="16"/>
  <c r="F144" i="16" s="1"/>
  <c r="D147" i="16"/>
  <c r="C147" i="16"/>
  <c r="B135" i="16"/>
  <c r="B134" i="16"/>
  <c r="F128" i="16"/>
  <c r="E125" i="16"/>
  <c r="E123" i="16" s="1"/>
  <c r="D123" i="16"/>
  <c r="C123" i="16"/>
  <c r="E97" i="16"/>
  <c r="F94" i="16" s="1"/>
  <c r="B91" i="16"/>
  <c r="B90" i="16"/>
  <c r="B67" i="16"/>
  <c r="B66" i="16"/>
  <c r="G59" i="16"/>
  <c r="H59" i="16" s="1"/>
  <c r="I59" i="16" s="1"/>
  <c r="J59" i="16" s="1"/>
  <c r="K59" i="16" s="1"/>
  <c r="L59" i="16" s="1"/>
  <c r="M59" i="16" s="1"/>
  <c r="N59" i="16" s="1"/>
  <c r="O59" i="16" s="1"/>
  <c r="B38" i="16"/>
  <c r="B37" i="16"/>
  <c r="O10" i="16" l="1"/>
  <c r="N21" i="18" s="1"/>
  <c r="M21" i="18"/>
  <c r="N11" i="18"/>
  <c r="M36" i="18"/>
  <c r="E6" i="16"/>
  <c r="N53" i="16"/>
  <c r="M82" i="16"/>
  <c r="C9" i="16"/>
  <c r="C22" i="17" s="1"/>
  <c r="E38" i="16"/>
  <c r="E153" i="16"/>
  <c r="E156" i="16"/>
  <c r="E158" i="16" s="1"/>
  <c r="D153" i="16"/>
  <c r="D156" i="16"/>
  <c r="D158" i="16" s="1"/>
  <c r="C153" i="16"/>
  <c r="C163" i="16" s="1"/>
  <c r="C156" i="16"/>
  <c r="C167" i="16"/>
  <c r="E167" i="16"/>
  <c r="E166" i="16"/>
  <c r="D167" i="16"/>
  <c r="D166" i="16"/>
  <c r="E8" i="16"/>
  <c r="E21" i="17" s="1"/>
  <c r="R50" i="17" s="1"/>
  <c r="E124" i="16"/>
  <c r="F124" i="16" s="1"/>
  <c r="G124" i="16" s="1"/>
  <c r="C18" i="16"/>
  <c r="C7" i="16" s="1"/>
  <c r="C15" i="17" s="1"/>
  <c r="D8" i="16"/>
  <c r="D21" i="17" s="1"/>
  <c r="E18" i="16"/>
  <c r="E7" i="16" s="1"/>
  <c r="E15" i="17" s="1"/>
  <c r="R30" i="17" s="1"/>
  <c r="E9" i="16"/>
  <c r="C8" i="16"/>
  <c r="C21" i="17" s="1"/>
  <c r="E13" i="16"/>
  <c r="D18" i="16"/>
  <c r="D21" i="16" s="1"/>
  <c r="D26" i="16" s="1"/>
  <c r="D29" i="16" s="1"/>
  <c r="D9" i="16"/>
  <c r="D22" i="17" s="1"/>
  <c r="D124" i="16"/>
  <c r="D6" i="16"/>
  <c r="C124" i="16"/>
  <c r="D46" i="16"/>
  <c r="D55" i="16"/>
  <c r="E46" i="16"/>
  <c r="E151" i="16"/>
  <c r="D14" i="16"/>
  <c r="D12" i="17" s="1"/>
  <c r="E91" i="16"/>
  <c r="F14" i="16"/>
  <c r="F12" i="17" s="1"/>
  <c r="E135" i="16"/>
  <c r="E55" i="16"/>
  <c r="F52" i="16"/>
  <c r="F161" i="16" s="1"/>
  <c r="E171" i="16"/>
  <c r="B43" i="18" l="1"/>
  <c r="E43" i="18"/>
  <c r="N36" i="18"/>
  <c r="D163" i="16"/>
  <c r="D162" i="16" s="1"/>
  <c r="E163" i="16"/>
  <c r="E162" i="16" s="1"/>
  <c r="F162" i="16" s="1"/>
  <c r="F163" i="16" s="1"/>
  <c r="F156" i="16"/>
  <c r="G156" i="16" s="1"/>
  <c r="H156" i="16" s="1"/>
  <c r="I156" i="16" s="1"/>
  <c r="J156" i="16" s="1"/>
  <c r="K156" i="16" s="1"/>
  <c r="L156" i="16" s="1"/>
  <c r="M156" i="16" s="1"/>
  <c r="N156" i="16" s="1"/>
  <c r="O156" i="16" s="1"/>
  <c r="N82" i="16"/>
  <c r="O53" i="16"/>
  <c r="O82" i="16" s="1"/>
  <c r="E5" i="16"/>
  <c r="F30" i="17"/>
  <c r="F31" i="17" s="1"/>
  <c r="E22" i="17"/>
  <c r="R54" i="17" s="1"/>
  <c r="E11" i="17"/>
  <c r="E57" i="17" s="1"/>
  <c r="F50" i="17"/>
  <c r="D135" i="16"/>
  <c r="F166" i="16"/>
  <c r="G166" i="16" s="1"/>
  <c r="H166" i="16" s="1"/>
  <c r="I166" i="16" s="1"/>
  <c r="J166" i="16" s="1"/>
  <c r="K166" i="16" s="1"/>
  <c r="L166" i="16" s="1"/>
  <c r="M166" i="16" s="1"/>
  <c r="N166" i="16" s="1"/>
  <c r="O166" i="16" s="1"/>
  <c r="C21" i="16"/>
  <c r="C32" i="16" s="1"/>
  <c r="C34" i="16" s="1"/>
  <c r="E21" i="16"/>
  <c r="E170" i="16"/>
  <c r="E37" i="16"/>
  <c r="D32" i="16"/>
  <c r="D34" i="16" s="1"/>
  <c r="E90" i="16"/>
  <c r="E134" i="16"/>
  <c r="D7" i="16"/>
  <c r="D15" i="17" s="1"/>
  <c r="D13" i="16"/>
  <c r="D5" i="16" s="1"/>
  <c r="F13" i="16"/>
  <c r="E63" i="16"/>
  <c r="E150" i="16"/>
  <c r="D63" i="16"/>
  <c r="D151" i="16"/>
  <c r="C14" i="16"/>
  <c r="C12" i="17" s="1"/>
  <c r="D38" i="16"/>
  <c r="D91" i="16"/>
  <c r="D171" i="16"/>
  <c r="G162" i="16"/>
  <c r="F81" i="16"/>
  <c r="G52" i="16"/>
  <c r="G161" i="16" s="1"/>
  <c r="F38" i="16"/>
  <c r="F171" i="16"/>
  <c r="F151" i="16"/>
  <c r="F67" i="16"/>
  <c r="F135" i="16"/>
  <c r="G14" i="16"/>
  <c r="G12" i="17" s="1"/>
  <c r="F91" i="16"/>
  <c r="H124" i="16"/>
  <c r="E26" i="16" l="1"/>
  <c r="E29" i="16" s="1"/>
  <c r="D17" i="18"/>
  <c r="F5" i="16"/>
  <c r="F49" i="17"/>
  <c r="F51" i="17"/>
  <c r="G50" i="17"/>
  <c r="F21" i="17"/>
  <c r="F54" i="17"/>
  <c r="G30" i="17"/>
  <c r="G31" i="17" s="1"/>
  <c r="F29" i="17"/>
  <c r="F15" i="17" s="1"/>
  <c r="S50" i="17"/>
  <c r="C26" i="16"/>
  <c r="C29" i="16" s="1"/>
  <c r="C173" i="16" s="1"/>
  <c r="F11" i="17"/>
  <c r="F57" i="17" s="1"/>
  <c r="D134" i="16"/>
  <c r="D11" i="17"/>
  <c r="D57" i="17" s="1"/>
  <c r="F134" i="16"/>
  <c r="F66" i="16"/>
  <c r="E32" i="16"/>
  <c r="G13" i="16"/>
  <c r="G5" i="16" s="1"/>
  <c r="C13" i="16"/>
  <c r="C5" i="16" s="1"/>
  <c r="D90" i="16"/>
  <c r="D170" i="16"/>
  <c r="D150" i="16"/>
  <c r="F37" i="16"/>
  <c r="G37" i="16" s="1"/>
  <c r="H37" i="16" s="1"/>
  <c r="I37" i="16" s="1"/>
  <c r="J37" i="16" s="1"/>
  <c r="K37" i="16" s="1"/>
  <c r="L37" i="16" s="1"/>
  <c r="M37" i="16" s="1"/>
  <c r="N37" i="16" s="1"/>
  <c r="O37" i="16" s="1"/>
  <c r="D37" i="16"/>
  <c r="C37" i="16" s="1"/>
  <c r="F170" i="16"/>
  <c r="F150" i="16"/>
  <c r="D173" i="16"/>
  <c r="D10" i="16"/>
  <c r="F90" i="16"/>
  <c r="F109" i="16" s="1"/>
  <c r="C151" i="16"/>
  <c r="C91" i="16"/>
  <c r="C171" i="16"/>
  <c r="C135" i="16"/>
  <c r="I124" i="16"/>
  <c r="G81" i="16"/>
  <c r="H52" i="16"/>
  <c r="H161" i="16" s="1"/>
  <c r="G163" i="16"/>
  <c r="G38" i="16"/>
  <c r="H14" i="16"/>
  <c r="H12" i="17" s="1"/>
  <c r="G171" i="16"/>
  <c r="G151" i="16"/>
  <c r="G135" i="16"/>
  <c r="G91" i="16"/>
  <c r="G67" i="16"/>
  <c r="H162" i="16"/>
  <c r="E10" i="16" l="1"/>
  <c r="D21" i="18" s="1"/>
  <c r="D20" i="18" s="1"/>
  <c r="E34" i="16"/>
  <c r="D15" i="18"/>
  <c r="D16" i="18" s="1"/>
  <c r="D18" i="18"/>
  <c r="B109" i="16"/>
  <c r="B110" i="16"/>
  <c r="S54" i="17"/>
  <c r="F55" i="17"/>
  <c r="F53" i="17"/>
  <c r="G54" i="17"/>
  <c r="G49" i="17"/>
  <c r="H50" i="17"/>
  <c r="G51" i="17"/>
  <c r="G29" i="17"/>
  <c r="G15" i="17" s="1"/>
  <c r="H30" i="17"/>
  <c r="H31" i="17" s="1"/>
  <c r="C10" i="16"/>
  <c r="C134" i="16"/>
  <c r="C11" i="17"/>
  <c r="C57" i="17" s="1"/>
  <c r="G66" i="16"/>
  <c r="G11" i="17"/>
  <c r="G57" i="17" s="1"/>
  <c r="H13" i="16"/>
  <c r="H5" i="16" s="1"/>
  <c r="G134" i="16"/>
  <c r="G170" i="16"/>
  <c r="G150" i="16"/>
  <c r="G90" i="16"/>
  <c r="C170" i="16"/>
  <c r="C90" i="16"/>
  <c r="C150" i="16"/>
  <c r="E173" i="16"/>
  <c r="I162" i="16"/>
  <c r="H38" i="16"/>
  <c r="H171" i="16"/>
  <c r="I14" i="16"/>
  <c r="I12" i="17" s="1"/>
  <c r="H135" i="16"/>
  <c r="H91" i="16"/>
  <c r="H151" i="16"/>
  <c r="H67" i="16"/>
  <c r="J124" i="16"/>
  <c r="K124" i="16" s="1"/>
  <c r="L124" i="16" s="1"/>
  <c r="M124" i="16" s="1"/>
  <c r="N124" i="16" s="1"/>
  <c r="O124" i="16" s="1"/>
  <c r="H81" i="16"/>
  <c r="I52" i="16"/>
  <c r="I161" i="16" s="1"/>
  <c r="H163" i="16"/>
  <c r="D22" i="18" l="1"/>
  <c r="B111" i="16"/>
  <c r="G109" i="16"/>
  <c r="H54" i="17"/>
  <c r="G55" i="17"/>
  <c r="G53" i="17"/>
  <c r="I50" i="17"/>
  <c r="H51" i="17"/>
  <c r="H49" i="17"/>
  <c r="H15" i="17"/>
  <c r="H29" i="17"/>
  <c r="I30" i="17"/>
  <c r="I29" i="17" s="1"/>
  <c r="H66" i="16"/>
  <c r="H11" i="17"/>
  <c r="H57" i="17" s="1"/>
  <c r="H150" i="16"/>
  <c r="H134" i="16"/>
  <c r="H170" i="16"/>
  <c r="H90" i="16"/>
  <c r="I13" i="16"/>
  <c r="I5" i="16" s="1"/>
  <c r="I171" i="16"/>
  <c r="I135" i="16"/>
  <c r="J14" i="16"/>
  <c r="J12" i="17" s="1"/>
  <c r="I91" i="16"/>
  <c r="I151" i="16"/>
  <c r="I67" i="16"/>
  <c r="I38" i="16"/>
  <c r="I81" i="16"/>
  <c r="J52" i="16"/>
  <c r="I163" i="16"/>
  <c r="J162" i="16"/>
  <c r="K162" i="16" s="1"/>
  <c r="B112" i="16" l="1"/>
  <c r="H109" i="16"/>
  <c r="J161" i="16"/>
  <c r="J163" i="16" s="1"/>
  <c r="K52" i="16"/>
  <c r="L162" i="16"/>
  <c r="I49" i="17"/>
  <c r="I51" i="17"/>
  <c r="J50" i="17"/>
  <c r="I54" i="17"/>
  <c r="H55" i="17"/>
  <c r="H53" i="17"/>
  <c r="I15" i="17"/>
  <c r="I31" i="17"/>
  <c r="J30" i="17"/>
  <c r="J29" i="17" s="1"/>
  <c r="K14" i="16"/>
  <c r="K12" i="17" s="1"/>
  <c r="I66" i="16"/>
  <c r="I11" i="17"/>
  <c r="I57" i="17" s="1"/>
  <c r="I150" i="16"/>
  <c r="I170" i="16"/>
  <c r="I90" i="16"/>
  <c r="J13" i="16"/>
  <c r="I134" i="16"/>
  <c r="J81" i="16"/>
  <c r="J38" i="16"/>
  <c r="J171" i="16"/>
  <c r="J135" i="16"/>
  <c r="J91" i="16"/>
  <c r="J151" i="16"/>
  <c r="J67" i="16"/>
  <c r="B113" i="16" l="1"/>
  <c r="I109" i="16"/>
  <c r="K81" i="16"/>
  <c r="K161" i="16"/>
  <c r="K163" i="16" s="1"/>
  <c r="L52" i="16"/>
  <c r="M162" i="16"/>
  <c r="J5" i="16"/>
  <c r="J54" i="17"/>
  <c r="I55" i="17"/>
  <c r="I53" i="17"/>
  <c r="J51" i="17"/>
  <c r="J49" i="17"/>
  <c r="K50" i="17"/>
  <c r="K30" i="17"/>
  <c r="K31" i="17" s="1"/>
  <c r="J31" i="17"/>
  <c r="J15" i="17" s="1"/>
  <c r="L14" i="16"/>
  <c r="L12" i="17" s="1"/>
  <c r="K151" i="16"/>
  <c r="K171" i="16"/>
  <c r="K38" i="16"/>
  <c r="K91" i="16"/>
  <c r="K67" i="16"/>
  <c r="K135" i="16"/>
  <c r="K13" i="16"/>
  <c r="J66" i="16"/>
  <c r="J11" i="17"/>
  <c r="J57" i="17" s="1"/>
  <c r="J90" i="16"/>
  <c r="J150" i="16"/>
  <c r="J170" i="16"/>
  <c r="J134" i="16"/>
  <c r="B114" i="16" l="1"/>
  <c r="J109" i="16"/>
  <c r="L161" i="16"/>
  <c r="L163" i="16" s="1"/>
  <c r="L81" i="16"/>
  <c r="M52" i="16"/>
  <c r="N162" i="16"/>
  <c r="K5" i="16"/>
  <c r="L50" i="17"/>
  <c r="K51" i="17"/>
  <c r="K49" i="17"/>
  <c r="J53" i="17"/>
  <c r="J55" i="17"/>
  <c r="K54" i="17"/>
  <c r="K29" i="17"/>
  <c r="K15" i="17"/>
  <c r="L30" i="17"/>
  <c r="L29" i="17" s="1"/>
  <c r="L13" i="16"/>
  <c r="K66" i="16"/>
  <c r="K150" i="16"/>
  <c r="K170" i="16"/>
  <c r="K11" i="17"/>
  <c r="K57" i="17" s="1"/>
  <c r="K134" i="16"/>
  <c r="K90" i="16"/>
  <c r="M14" i="16"/>
  <c r="M12" i="17" s="1"/>
  <c r="L38" i="16"/>
  <c r="L67" i="16"/>
  <c r="L171" i="16"/>
  <c r="L91" i="16"/>
  <c r="L151" i="16"/>
  <c r="L135" i="16"/>
  <c r="B115" i="16" l="1"/>
  <c r="K109" i="16"/>
  <c r="M161" i="16"/>
  <c r="M163" i="16" s="1"/>
  <c r="N52" i="16"/>
  <c r="M81" i="16"/>
  <c r="O162" i="16"/>
  <c r="L5" i="16"/>
  <c r="K53" i="17"/>
  <c r="K55" i="17"/>
  <c r="L54" i="17"/>
  <c r="L49" i="17"/>
  <c r="L51" i="17"/>
  <c r="M50" i="17"/>
  <c r="L15" i="17"/>
  <c r="M30" i="17"/>
  <c r="M31" i="17" s="1"/>
  <c r="L31" i="17"/>
  <c r="M13" i="16"/>
  <c r="L90" i="16"/>
  <c r="L66" i="16"/>
  <c r="L134" i="16"/>
  <c r="L11" i="17"/>
  <c r="L57" i="17" s="1"/>
  <c r="L150" i="16"/>
  <c r="L170" i="16"/>
  <c r="N14" i="16"/>
  <c r="N12" i="17" s="1"/>
  <c r="M135" i="16"/>
  <c r="M38" i="16"/>
  <c r="M91" i="16"/>
  <c r="M171" i="16"/>
  <c r="M67" i="16"/>
  <c r="M151" i="16"/>
  <c r="B116" i="16" l="1"/>
  <c r="L109" i="16"/>
  <c r="N161" i="16"/>
  <c r="N163" i="16" s="1"/>
  <c r="N81" i="16"/>
  <c r="O52" i="16"/>
  <c r="M5" i="16"/>
  <c r="N50" i="17"/>
  <c r="M51" i="17"/>
  <c r="M49" i="17"/>
  <c r="L53" i="17"/>
  <c r="M54" i="17"/>
  <c r="L55" i="17"/>
  <c r="M15" i="17"/>
  <c r="M29" i="17"/>
  <c r="N30" i="17"/>
  <c r="N29" i="17" s="1"/>
  <c r="O14" i="16"/>
  <c r="O12" i="17" s="1"/>
  <c r="N171" i="16"/>
  <c r="N135" i="16"/>
  <c r="N38" i="16"/>
  <c r="N151" i="16"/>
  <c r="N67" i="16"/>
  <c r="N91" i="16"/>
  <c r="N13" i="16"/>
  <c r="M90" i="16"/>
  <c r="M66" i="16"/>
  <c r="M170" i="16"/>
  <c r="M150" i="16"/>
  <c r="M11" i="17"/>
  <c r="M57" i="17" s="1"/>
  <c r="M134" i="16"/>
  <c r="B117" i="16" l="1"/>
  <c r="M109" i="16"/>
  <c r="O161" i="16"/>
  <c r="O163" i="16" s="1"/>
  <c r="O81" i="16"/>
  <c r="N5" i="16"/>
  <c r="M53" i="17"/>
  <c r="M55" i="17"/>
  <c r="N54" i="17"/>
  <c r="N49" i="17"/>
  <c r="O50" i="17"/>
  <c r="N51" i="17"/>
  <c r="N31" i="17"/>
  <c r="N15" i="17" s="1"/>
  <c r="O13" i="16"/>
  <c r="N11" i="17"/>
  <c r="N57" i="17" s="1"/>
  <c r="N150" i="16"/>
  <c r="N90" i="16"/>
  <c r="N66" i="16"/>
  <c r="N134" i="16"/>
  <c r="N170" i="16"/>
  <c r="O151" i="16"/>
  <c r="O135" i="16"/>
  <c r="O91" i="16"/>
  <c r="O171" i="16"/>
  <c r="O67" i="16"/>
  <c r="O38" i="16"/>
  <c r="B118" i="16" l="1"/>
  <c r="N109" i="16"/>
  <c r="O5" i="16"/>
  <c r="O51" i="17"/>
  <c r="O49" i="17"/>
  <c r="N55" i="17"/>
  <c r="N53" i="17"/>
  <c r="O54" i="17"/>
  <c r="O90" i="16"/>
  <c r="O170" i="16"/>
  <c r="O66" i="16"/>
  <c r="O11" i="17"/>
  <c r="O57" i="17" s="1"/>
  <c r="O134" i="16"/>
  <c r="O150" i="16"/>
  <c r="I22" i="4"/>
  <c r="C22" i="4"/>
  <c r="D22" i="4"/>
  <c r="E22" i="4"/>
  <c r="F22" i="4"/>
  <c r="G22" i="4"/>
  <c r="H22" i="4"/>
  <c r="J22" i="4"/>
  <c r="K22" i="4"/>
  <c r="L22" i="4"/>
  <c r="B22" i="4"/>
  <c r="B119" i="16" l="1"/>
  <c r="O109" i="16"/>
  <c r="O53" i="17"/>
  <c r="O55" i="17"/>
  <c r="O22" i="17"/>
  <c r="O9" i="16" s="1"/>
  <c r="R62" i="17" l="1"/>
  <c r="F62" i="17" s="1"/>
  <c r="R60" i="17"/>
  <c r="O26" i="17"/>
  <c r="F115" i="17" l="1"/>
  <c r="F39" i="17"/>
  <c r="G62" i="17"/>
  <c r="F60" i="17"/>
  <c r="F113" i="17" s="1"/>
  <c r="F27" i="17"/>
  <c r="O14" i="17"/>
  <c r="R61" i="17"/>
  <c r="F61" i="17" s="1"/>
  <c r="G115" i="17" l="1"/>
  <c r="G39" i="17"/>
  <c r="F38" i="17"/>
  <c r="F17" i="17" s="1"/>
  <c r="F114" i="17"/>
  <c r="G60" i="17"/>
  <c r="F37" i="17"/>
  <c r="H62" i="17"/>
  <c r="G61" i="17"/>
  <c r="G114" i="17" s="1"/>
  <c r="F25" i="17"/>
  <c r="F26" i="17"/>
  <c r="F14" i="17" s="1"/>
  <c r="G27" i="17"/>
  <c r="H115" i="17" l="1"/>
  <c r="H39" i="17"/>
  <c r="G72" i="17"/>
  <c r="G68" i="17" s="1"/>
  <c r="G33" i="17" s="1"/>
  <c r="G16" i="17" s="1"/>
  <c r="G113" i="17"/>
  <c r="H60" i="17"/>
  <c r="I62" i="17"/>
  <c r="H61" i="17"/>
  <c r="G25" i="17"/>
  <c r="H27" i="17"/>
  <c r="G26" i="17"/>
  <c r="G14" i="17" s="1"/>
  <c r="I115" i="17" l="1"/>
  <c r="I39" i="17"/>
  <c r="H114" i="17"/>
  <c r="H73" i="17"/>
  <c r="I60" i="17"/>
  <c r="I113" i="17" s="1"/>
  <c r="H113" i="17"/>
  <c r="H25" i="17"/>
  <c r="H72" i="17"/>
  <c r="H68" i="17" s="1"/>
  <c r="H33" i="17" s="1"/>
  <c r="J62" i="17"/>
  <c r="H26" i="17"/>
  <c r="H14" i="17" s="1"/>
  <c r="I61" i="17"/>
  <c r="I27" i="17"/>
  <c r="I114" i="17" l="1"/>
  <c r="J115" i="17"/>
  <c r="J39" i="17"/>
  <c r="I25" i="17"/>
  <c r="J60" i="17"/>
  <c r="J25" i="17" s="1"/>
  <c r="I72" i="17"/>
  <c r="I68" i="17" s="1"/>
  <c r="I33" i="17" s="1"/>
  <c r="H69" i="17"/>
  <c r="H34" i="17" s="1"/>
  <c r="H16" i="17" s="1"/>
  <c r="J61" i="17"/>
  <c r="J114" i="17" s="1"/>
  <c r="K60" i="17"/>
  <c r="K113" i="17" s="1"/>
  <c r="K62" i="17"/>
  <c r="J74" i="17"/>
  <c r="J70" i="17" s="1"/>
  <c r="J35" i="17" s="1"/>
  <c r="I26" i="17"/>
  <c r="I14" i="17" s="1"/>
  <c r="J27" i="17"/>
  <c r="J113" i="17" l="1"/>
  <c r="J72" i="17"/>
  <c r="J68" i="17" s="1"/>
  <c r="J33" i="17" s="1"/>
  <c r="K115" i="17"/>
  <c r="K39" i="17"/>
  <c r="K25" i="17"/>
  <c r="L62" i="17"/>
  <c r="K74" i="17"/>
  <c r="K70" i="17" s="1"/>
  <c r="K35" i="17" s="1"/>
  <c r="L60" i="17"/>
  <c r="L113" i="17" s="1"/>
  <c r="K61" i="17"/>
  <c r="K114" i="17" s="1"/>
  <c r="K27" i="17"/>
  <c r="J26" i="17"/>
  <c r="J14" i="17" s="1"/>
  <c r="K72" i="17" l="1"/>
  <c r="K68" i="17" s="1"/>
  <c r="K33" i="17" s="1"/>
  <c r="L115" i="17"/>
  <c r="L39" i="17"/>
  <c r="L61" i="17"/>
  <c r="L114" i="17" s="1"/>
  <c r="M60" i="17"/>
  <c r="M62" i="17"/>
  <c r="L74" i="17"/>
  <c r="L70" i="17" s="1"/>
  <c r="L35" i="17" s="1"/>
  <c r="L25" i="17"/>
  <c r="K26" i="17"/>
  <c r="K14" i="17" s="1"/>
  <c r="L27" i="17"/>
  <c r="L72" i="17" l="1"/>
  <c r="L68" i="17" s="1"/>
  <c r="L33" i="17" s="1"/>
  <c r="M115" i="17"/>
  <c r="M39" i="17"/>
  <c r="M25" i="17"/>
  <c r="M113" i="17"/>
  <c r="N62" i="17"/>
  <c r="M74" i="17"/>
  <c r="M70" i="17" s="1"/>
  <c r="M35" i="17" s="1"/>
  <c r="N60" i="17"/>
  <c r="N113" i="17" s="1"/>
  <c r="M61" i="17"/>
  <c r="M114" i="17" s="1"/>
  <c r="N27" i="17"/>
  <c r="M27" i="17"/>
  <c r="L26" i="17"/>
  <c r="L14" i="17" s="1"/>
  <c r="M72" i="17" l="1"/>
  <c r="M68" i="17" s="1"/>
  <c r="M33" i="17" s="1"/>
  <c r="N115" i="17"/>
  <c r="N39" i="17"/>
  <c r="N25" i="17"/>
  <c r="N61" i="17"/>
  <c r="N74" i="17"/>
  <c r="N70" i="17" s="1"/>
  <c r="N35" i="17" s="1"/>
  <c r="M26" i="17"/>
  <c r="M14" i="17"/>
  <c r="N72" i="17" l="1"/>
  <c r="O72" i="17" s="1"/>
  <c r="O68" i="17" s="1"/>
  <c r="O33" i="17" s="1"/>
  <c r="N26" i="17"/>
  <c r="N114" i="17"/>
  <c r="O74" i="17"/>
  <c r="O70" i="17" s="1"/>
  <c r="O35" i="17" s="1"/>
  <c r="N14" i="17"/>
  <c r="N68" i="17" l="1"/>
  <c r="N33" i="17" s="1"/>
  <c r="I73" i="17"/>
  <c r="I69" i="17" s="1"/>
  <c r="J73" i="17" l="1"/>
  <c r="J69" i="17" s="1"/>
  <c r="K73" i="17" l="1"/>
  <c r="K69" i="17" s="1"/>
  <c r="L73" i="17" l="1"/>
  <c r="L69" i="17" s="1"/>
  <c r="M73" i="17" l="1"/>
  <c r="M69" i="17" s="1"/>
  <c r="N73" i="17" l="1"/>
  <c r="N69" i="17" s="1"/>
  <c r="O73" i="17" l="1"/>
  <c r="O69" i="17" s="1"/>
  <c r="O34" i="17" s="1"/>
  <c r="R81" i="17"/>
  <c r="I81" i="17" s="1"/>
  <c r="I34" i="17" s="1"/>
  <c r="O16" i="17" l="1"/>
  <c r="O17" i="17"/>
  <c r="I16" i="17"/>
  <c r="J81" i="17"/>
  <c r="J34" i="17" s="1"/>
  <c r="J16" i="17" l="1"/>
  <c r="K81" i="17"/>
  <c r="K34" i="17" s="1"/>
  <c r="K16" i="17" l="1"/>
  <c r="L81" i="17"/>
  <c r="L34" i="17" s="1"/>
  <c r="L16" i="17" l="1"/>
  <c r="M81" i="17"/>
  <c r="M34" i="17" s="1"/>
  <c r="N81" i="17" l="1"/>
  <c r="N34" i="17" s="1"/>
  <c r="M16" i="17"/>
  <c r="N16" i="17" l="1"/>
  <c r="R85" i="17"/>
  <c r="G85" i="17" s="1"/>
  <c r="R84" i="17"/>
  <c r="G84" i="17" s="1"/>
  <c r="R89" i="17"/>
  <c r="H84" i="17" l="1"/>
  <c r="G37" i="17"/>
  <c r="H85" i="17"/>
  <c r="G89" i="17"/>
  <c r="H89" i="17" l="1"/>
  <c r="H38" i="17" s="1"/>
  <c r="G38" i="17"/>
  <c r="G17" i="17" s="1"/>
  <c r="I84" i="17"/>
  <c r="H37" i="17"/>
  <c r="I85" i="17"/>
  <c r="H17" i="17" l="1"/>
  <c r="I89" i="17"/>
  <c r="I38" i="17" s="1"/>
  <c r="J84" i="17"/>
  <c r="I37" i="17"/>
  <c r="J85" i="17"/>
  <c r="J89" i="17" l="1"/>
  <c r="J38" i="17" s="1"/>
  <c r="I17" i="17"/>
  <c r="K84" i="17"/>
  <c r="J37" i="17"/>
  <c r="K85" i="17"/>
  <c r="J17" i="17" l="1"/>
  <c r="K89" i="17"/>
  <c r="L84" i="17"/>
  <c r="K37" i="17"/>
  <c r="L85" i="17"/>
  <c r="L89" i="17" l="1"/>
  <c r="K38" i="17"/>
  <c r="K17" i="17" s="1"/>
  <c r="M84" i="17"/>
  <c r="L37" i="17"/>
  <c r="M85" i="17"/>
  <c r="M89" i="17" l="1"/>
  <c r="L38" i="17"/>
  <c r="L17" i="17" s="1"/>
  <c r="N84" i="17"/>
  <c r="N37" i="17" s="1"/>
  <c r="M37" i="17"/>
  <c r="N85" i="17"/>
  <c r="N89" i="17" l="1"/>
  <c r="N38" i="17" s="1"/>
  <c r="N17" i="17" s="1"/>
  <c r="M38" i="17"/>
  <c r="M17" i="17" s="1"/>
  <c r="G93" i="17" l="1"/>
  <c r="H93" i="17" l="1"/>
  <c r="I93" i="17" l="1"/>
  <c r="J93" i="17" l="1"/>
  <c r="K93" i="17" l="1"/>
  <c r="L93" i="17" l="1"/>
  <c r="M93" i="17" l="1"/>
  <c r="N93" i="17" l="1"/>
  <c r="R101" i="17" l="1"/>
  <c r="F101" i="17" s="1"/>
  <c r="R102" i="17"/>
  <c r="F102" i="17" s="1"/>
  <c r="R103" i="17"/>
  <c r="F103" i="17" s="1"/>
  <c r="F42" i="17" l="1"/>
  <c r="F122" i="17" s="1"/>
  <c r="F20" i="17" s="1"/>
  <c r="F95" i="16" s="1"/>
  <c r="F46" i="17"/>
  <c r="F19" i="17" s="1"/>
  <c r="F43" i="17"/>
  <c r="F123" i="17" s="1"/>
  <c r="F47" i="17"/>
  <c r="F41" i="17"/>
  <c r="F121" i="17" s="1"/>
  <c r="F45" i="17"/>
  <c r="G103" i="17"/>
  <c r="G102" i="17"/>
  <c r="F18" i="17"/>
  <c r="F16" i="16" s="1"/>
  <c r="E13" i="18" s="1"/>
  <c r="G101" i="17"/>
  <c r="F22" i="17"/>
  <c r="F9" i="16" s="1"/>
  <c r="C13" i="18" l="1"/>
  <c r="E14" i="18"/>
  <c r="F110" i="16"/>
  <c r="F120" i="16" s="1"/>
  <c r="F96" i="16" s="1"/>
  <c r="F97" i="16" s="1"/>
  <c r="L110" i="16"/>
  <c r="M110" i="16"/>
  <c r="N110" i="16"/>
  <c r="O110" i="16"/>
  <c r="G110" i="16"/>
  <c r="H110" i="16"/>
  <c r="I110" i="16"/>
  <c r="J110" i="16"/>
  <c r="K110" i="16"/>
  <c r="F78" i="16"/>
  <c r="F7" i="16"/>
  <c r="F8" i="16"/>
  <c r="F19" i="16" s="1"/>
  <c r="H101" i="17"/>
  <c r="G22" i="17"/>
  <c r="G9" i="16" s="1"/>
  <c r="F20" i="16"/>
  <c r="F123" i="16"/>
  <c r="F139" i="16"/>
  <c r="F6" i="16"/>
  <c r="H102" i="17"/>
  <c r="G21" i="17"/>
  <c r="G42" i="17"/>
  <c r="H103" i="17"/>
  <c r="F18" i="16" l="1"/>
  <c r="F21" i="16" s="1"/>
  <c r="E17" i="18" s="1"/>
  <c r="F28" i="16"/>
  <c r="F60" i="16" s="1"/>
  <c r="F79" i="16"/>
  <c r="E26" i="18"/>
  <c r="E27" i="18" s="1"/>
  <c r="F43" i="16"/>
  <c r="G94" i="16"/>
  <c r="G122" i="17"/>
  <c r="G8" i="16"/>
  <c r="I102" i="17"/>
  <c r="H21" i="17"/>
  <c r="H42" i="17"/>
  <c r="F44" i="16"/>
  <c r="F45" i="16"/>
  <c r="F40" i="16"/>
  <c r="F42" i="16"/>
  <c r="F54" i="16"/>
  <c r="F50" i="16"/>
  <c r="F49" i="16"/>
  <c r="F33" i="16"/>
  <c r="F125" i="16"/>
  <c r="F31" i="16" s="1"/>
  <c r="F129" i="16"/>
  <c r="I103" i="17"/>
  <c r="I101" i="17"/>
  <c r="H22" i="17"/>
  <c r="H9" i="16" s="1"/>
  <c r="F17" i="16" l="1"/>
  <c r="F48" i="16" s="1"/>
  <c r="F70" i="16"/>
  <c r="E24" i="18"/>
  <c r="C17" i="18"/>
  <c r="E22" i="18"/>
  <c r="E20" i="18"/>
  <c r="E18" i="18"/>
  <c r="H122" i="17"/>
  <c r="H8" i="16"/>
  <c r="F75" i="16"/>
  <c r="J103" i="17"/>
  <c r="F131" i="16"/>
  <c r="J101" i="17"/>
  <c r="I22" i="17"/>
  <c r="I9" i="16" s="1"/>
  <c r="J102" i="17"/>
  <c r="I21" i="17"/>
  <c r="I42" i="17"/>
  <c r="F32" i="16"/>
  <c r="F71" i="16"/>
  <c r="F181" i="16" l="1"/>
  <c r="F57" i="16"/>
  <c r="F41" i="16"/>
  <c r="F72" i="16" s="1"/>
  <c r="F174" i="16"/>
  <c r="F177" i="16" s="1"/>
  <c r="F34" i="16"/>
  <c r="E15" i="18"/>
  <c r="I122" i="17"/>
  <c r="I8" i="16"/>
  <c r="K103" i="17"/>
  <c r="K101" i="17"/>
  <c r="J22" i="17"/>
  <c r="J9" i="16" s="1"/>
  <c r="K102" i="17"/>
  <c r="J21" i="17"/>
  <c r="J42" i="17"/>
  <c r="F73" i="16"/>
  <c r="G128" i="16"/>
  <c r="F130" i="16"/>
  <c r="F74" i="16" s="1"/>
  <c r="E31" i="18" l="1"/>
  <c r="E25" i="18" s="1"/>
  <c r="E29" i="18" s="1"/>
  <c r="E37" i="18" s="1"/>
  <c r="E38" i="18" s="1"/>
  <c r="C15" i="18"/>
  <c r="E16" i="18"/>
  <c r="J122" i="17"/>
  <c r="J8" i="16"/>
  <c r="L103" i="17"/>
  <c r="L101" i="17"/>
  <c r="K22" i="17"/>
  <c r="K9" i="16" s="1"/>
  <c r="L102" i="17"/>
  <c r="K21" i="17"/>
  <c r="K42" i="17"/>
  <c r="E32" i="18" l="1"/>
  <c r="K122" i="17"/>
  <c r="K8" i="16"/>
  <c r="M103" i="17"/>
  <c r="M101" i="17"/>
  <c r="L22" i="17"/>
  <c r="L9" i="16" s="1"/>
  <c r="M102" i="17"/>
  <c r="L21" i="17"/>
  <c r="L42" i="17"/>
  <c r="L122" i="17" l="1"/>
  <c r="L8" i="16"/>
  <c r="N103" i="17"/>
  <c r="N102" i="17"/>
  <c r="M21" i="17"/>
  <c r="M42" i="17"/>
  <c r="N101" i="17"/>
  <c r="M22" i="17"/>
  <c r="M9" i="16" s="1"/>
  <c r="M122" i="17" l="1"/>
  <c r="M8" i="16"/>
  <c r="N22" i="17"/>
  <c r="N9" i="16" s="1"/>
  <c r="N21" i="17"/>
  <c r="N42" i="17"/>
  <c r="N122" i="17" l="1"/>
  <c r="N8" i="16"/>
  <c r="O21" i="17"/>
  <c r="O8" i="16" s="1"/>
  <c r="O41" i="17" l="1"/>
  <c r="R92" i="17"/>
  <c r="G92" i="17" s="1"/>
  <c r="H92" i="17" s="1"/>
  <c r="I92" i="17" s="1"/>
  <c r="J92" i="17" s="1"/>
  <c r="K92" i="17" s="1"/>
  <c r="L92" i="17" s="1"/>
  <c r="M92" i="17" s="1"/>
  <c r="N92" i="17" s="1"/>
  <c r="N41" i="17" s="1"/>
  <c r="N121" i="17" s="1"/>
  <c r="O43" i="17"/>
  <c r="O18" i="17" s="1"/>
  <c r="O16" i="16" s="1"/>
  <c r="R94" i="17"/>
  <c r="G94" i="17" s="1"/>
  <c r="O20" i="16" l="1"/>
  <c r="O123" i="16"/>
  <c r="O129" i="16" s="1"/>
  <c r="O139" i="16"/>
  <c r="N13" i="18"/>
  <c r="O19" i="16"/>
  <c r="I41" i="17"/>
  <c r="I121" i="17" s="1"/>
  <c r="K41" i="17"/>
  <c r="K121" i="17" s="1"/>
  <c r="G41" i="17"/>
  <c r="G121" i="17" s="1"/>
  <c r="L41" i="17"/>
  <c r="L121" i="17" s="1"/>
  <c r="J41" i="17"/>
  <c r="J121" i="17" s="1"/>
  <c r="H41" i="17"/>
  <c r="H121" i="17" s="1"/>
  <c r="M41" i="17"/>
  <c r="M121" i="17" s="1"/>
  <c r="G43" i="17"/>
  <c r="H94" i="17"/>
  <c r="N27" i="18" l="1"/>
  <c r="G123" i="17"/>
  <c r="G20" i="17" s="1"/>
  <c r="G95" i="16" s="1"/>
  <c r="N111" i="16" s="1"/>
  <c r="G18" i="17"/>
  <c r="G16" i="16" s="1"/>
  <c r="I94" i="17"/>
  <c r="H43" i="17"/>
  <c r="L111" i="16" l="1"/>
  <c r="M111" i="16"/>
  <c r="K111" i="16"/>
  <c r="H111" i="16"/>
  <c r="G19" i="16"/>
  <c r="F13" i="18"/>
  <c r="F14" i="18" s="1"/>
  <c r="G139" i="16"/>
  <c r="G123" i="16"/>
  <c r="G129" i="16" s="1"/>
  <c r="G20" i="16"/>
  <c r="G6" i="16"/>
  <c r="G78" i="16"/>
  <c r="F26" i="18" s="1"/>
  <c r="J111" i="16"/>
  <c r="I111" i="16"/>
  <c r="H123" i="17"/>
  <c r="H20" i="17" s="1"/>
  <c r="H95" i="16" s="1"/>
  <c r="L112" i="16" s="1"/>
  <c r="H18" i="17"/>
  <c r="H16" i="16" s="1"/>
  <c r="G111" i="16"/>
  <c r="G120" i="16" s="1"/>
  <c r="G96" i="16" s="1"/>
  <c r="O111" i="16"/>
  <c r="J94" i="17"/>
  <c r="I43" i="17"/>
  <c r="F27" i="18" l="1"/>
  <c r="I112" i="16"/>
  <c r="K112" i="16"/>
  <c r="G79" i="16"/>
  <c r="O112" i="16"/>
  <c r="H112" i="16"/>
  <c r="H120" i="16" s="1"/>
  <c r="H96" i="16" s="1"/>
  <c r="G125" i="16"/>
  <c r="G31" i="16" s="1"/>
  <c r="G45" i="16"/>
  <c r="G44" i="16"/>
  <c r="G40" i="16"/>
  <c r="G50" i="16"/>
  <c r="G33" i="16"/>
  <c r="G54" i="16"/>
  <c r="G49" i="16"/>
  <c r="G42" i="16"/>
  <c r="H20" i="16"/>
  <c r="H123" i="16"/>
  <c r="H129" i="16" s="1"/>
  <c r="G13" i="18"/>
  <c r="G14" i="18" s="1"/>
  <c r="H6" i="16"/>
  <c r="H19" i="16"/>
  <c r="H139" i="16"/>
  <c r="I123" i="17"/>
  <c r="I20" i="17" s="1"/>
  <c r="I95" i="16" s="1"/>
  <c r="N113" i="16" s="1"/>
  <c r="I18" i="17"/>
  <c r="I16" i="16" s="1"/>
  <c r="N112" i="16"/>
  <c r="G97" i="16"/>
  <c r="J112" i="16"/>
  <c r="H78" i="16"/>
  <c r="G26" i="18" s="1"/>
  <c r="M112" i="16"/>
  <c r="K94" i="17"/>
  <c r="J43" i="17"/>
  <c r="G181" i="16" l="1"/>
  <c r="G57" i="16"/>
  <c r="H79" i="16"/>
  <c r="H50" i="16"/>
  <c r="H40" i="16"/>
  <c r="H125" i="16"/>
  <c r="H31" i="16" s="1"/>
  <c r="H70" i="16" s="1"/>
  <c r="H45" i="16"/>
  <c r="G174" i="16"/>
  <c r="G177" i="16" s="1"/>
  <c r="H33" i="16"/>
  <c r="H181" i="16" s="1"/>
  <c r="G71" i="16"/>
  <c r="L113" i="16"/>
  <c r="K113" i="16"/>
  <c r="G75" i="16"/>
  <c r="H54" i="16"/>
  <c r="I78" i="16"/>
  <c r="H26" i="18" s="1"/>
  <c r="G131" i="16"/>
  <c r="H44" i="16"/>
  <c r="I6" i="16"/>
  <c r="I139" i="16"/>
  <c r="I20" i="16"/>
  <c r="I123" i="16"/>
  <c r="I129" i="16" s="1"/>
  <c r="H13" i="18"/>
  <c r="H14" i="18" s="1"/>
  <c r="I19" i="16"/>
  <c r="J123" i="17"/>
  <c r="J20" i="17" s="1"/>
  <c r="J95" i="16" s="1"/>
  <c r="N114" i="16" s="1"/>
  <c r="J18" i="17"/>
  <c r="J16" i="16" s="1"/>
  <c r="G27" i="18"/>
  <c r="H42" i="16"/>
  <c r="J113" i="16"/>
  <c r="I113" i="16"/>
  <c r="I120" i="16" s="1"/>
  <c r="I96" i="16" s="1"/>
  <c r="O113" i="16"/>
  <c r="F24" i="18"/>
  <c r="G70" i="16"/>
  <c r="M113" i="16"/>
  <c r="G43" i="16"/>
  <c r="H94" i="16"/>
  <c r="H97" i="16" s="1"/>
  <c r="I94" i="16" s="1"/>
  <c r="H49" i="16"/>
  <c r="I49" i="16" s="1"/>
  <c r="L94" i="17"/>
  <c r="K43" i="17"/>
  <c r="H57" i="16" l="1"/>
  <c r="I50" i="16"/>
  <c r="H27" i="18"/>
  <c r="I40" i="16"/>
  <c r="G24" i="18"/>
  <c r="I97" i="16"/>
  <c r="I43" i="16" s="1"/>
  <c r="I45" i="16"/>
  <c r="I42" i="16"/>
  <c r="I79" i="16"/>
  <c r="H43" i="16"/>
  <c r="H131" i="16"/>
  <c r="I44" i="16"/>
  <c r="M114" i="16"/>
  <c r="H75" i="16"/>
  <c r="I54" i="16"/>
  <c r="I13" i="18"/>
  <c r="I14" i="18" s="1"/>
  <c r="J139" i="16"/>
  <c r="J20" i="16"/>
  <c r="J6" i="16"/>
  <c r="J19" i="16"/>
  <c r="J123" i="16"/>
  <c r="J129" i="16" s="1"/>
  <c r="J114" i="16"/>
  <c r="J120" i="16" s="1"/>
  <c r="J96" i="16" s="1"/>
  <c r="H128" i="16"/>
  <c r="G130" i="16"/>
  <c r="G74" i="16" s="1"/>
  <c r="L114" i="16"/>
  <c r="J78" i="16"/>
  <c r="I26" i="18" s="1"/>
  <c r="I125" i="16"/>
  <c r="I31" i="16" s="1"/>
  <c r="H174" i="16"/>
  <c r="H177" i="16" s="1"/>
  <c r="H71" i="16"/>
  <c r="I33" i="16"/>
  <c r="I181" i="16" s="1"/>
  <c r="K114" i="16"/>
  <c r="K123" i="17"/>
  <c r="K20" i="17" s="1"/>
  <c r="K95" i="16" s="1"/>
  <c r="M115" i="16" s="1"/>
  <c r="K18" i="17"/>
  <c r="K16" i="16" s="1"/>
  <c r="O114" i="16"/>
  <c r="M94" i="17"/>
  <c r="L43" i="17"/>
  <c r="I57" i="16" l="1"/>
  <c r="I131" i="16"/>
  <c r="J128" i="16" s="1"/>
  <c r="J94" i="16"/>
  <c r="J97" i="16" s="1"/>
  <c r="I27" i="18"/>
  <c r="K115" i="16"/>
  <c r="K120" i="16" s="1"/>
  <c r="K96" i="16" s="1"/>
  <c r="L115" i="16"/>
  <c r="L123" i="17"/>
  <c r="L20" i="17" s="1"/>
  <c r="L95" i="16" s="1"/>
  <c r="O116" i="16" s="1"/>
  <c r="L18" i="17"/>
  <c r="L16" i="16" s="1"/>
  <c r="K78" i="16"/>
  <c r="J26" i="18" s="1"/>
  <c r="J79" i="16"/>
  <c r="N115" i="16"/>
  <c r="I70" i="16"/>
  <c r="H24" i="18"/>
  <c r="I75" i="16"/>
  <c r="J54" i="16"/>
  <c r="J45" i="16"/>
  <c r="J42" i="16"/>
  <c r="K20" i="16"/>
  <c r="J13" i="18"/>
  <c r="J14" i="18" s="1"/>
  <c r="K139" i="16"/>
  <c r="K123" i="16"/>
  <c r="K129" i="16" s="1"/>
  <c r="K19" i="16"/>
  <c r="K6" i="16"/>
  <c r="J40" i="16"/>
  <c r="J49" i="16"/>
  <c r="O115" i="16"/>
  <c r="J50" i="16"/>
  <c r="J44" i="16"/>
  <c r="J125" i="16"/>
  <c r="J31" i="16" s="1"/>
  <c r="I174" i="16"/>
  <c r="I177" i="16" s="1"/>
  <c r="I71" i="16"/>
  <c r="J33" i="16"/>
  <c r="J181" i="16" s="1"/>
  <c r="H130" i="16"/>
  <c r="H74" i="16" s="1"/>
  <c r="I128" i="16"/>
  <c r="N94" i="17"/>
  <c r="M43" i="17"/>
  <c r="R105" i="17"/>
  <c r="J57" i="16" l="1"/>
  <c r="J27" i="18"/>
  <c r="I130" i="16"/>
  <c r="I74" i="16" s="1"/>
  <c r="K94" i="16"/>
  <c r="K97" i="16" s="1"/>
  <c r="J43" i="16"/>
  <c r="K49" i="16"/>
  <c r="K40" i="16"/>
  <c r="K79" i="16"/>
  <c r="J75" i="16"/>
  <c r="K54" i="16"/>
  <c r="M123" i="17"/>
  <c r="M20" i="17" s="1"/>
  <c r="M95" i="16" s="1"/>
  <c r="O117" i="16" s="1"/>
  <c r="M18" i="17"/>
  <c r="M16" i="16" s="1"/>
  <c r="L123" i="16"/>
  <c r="L129" i="16" s="1"/>
  <c r="L19" i="16"/>
  <c r="L20" i="16"/>
  <c r="L139" i="16"/>
  <c r="K13" i="18"/>
  <c r="K14" i="18" s="1"/>
  <c r="L6" i="16"/>
  <c r="M116" i="16"/>
  <c r="L78" i="16"/>
  <c r="L79" i="16" s="1"/>
  <c r="J174" i="16"/>
  <c r="J177" i="16" s="1"/>
  <c r="K33" i="16"/>
  <c r="K181" i="16" s="1"/>
  <c r="J71" i="16"/>
  <c r="L116" i="16"/>
  <c r="L120" i="16" s="1"/>
  <c r="L96" i="16" s="1"/>
  <c r="K125" i="16"/>
  <c r="K31" i="16" s="1"/>
  <c r="N116" i="16"/>
  <c r="J70" i="16"/>
  <c r="I24" i="18"/>
  <c r="K44" i="16"/>
  <c r="K50" i="16"/>
  <c r="K42" i="16"/>
  <c r="K45" i="16"/>
  <c r="J131" i="16"/>
  <c r="N43" i="17"/>
  <c r="G105" i="17"/>
  <c r="O106" i="17"/>
  <c r="R107" i="17"/>
  <c r="G107" i="17" s="1"/>
  <c r="K57" i="16" l="1"/>
  <c r="L40" i="16"/>
  <c r="K26" i="18"/>
  <c r="K27" i="18" s="1"/>
  <c r="K43" i="16"/>
  <c r="L94" i="16"/>
  <c r="L97" i="16" s="1"/>
  <c r="L49" i="16"/>
  <c r="L42" i="16"/>
  <c r="L50" i="16"/>
  <c r="L44" i="16"/>
  <c r="N117" i="16"/>
  <c r="L125" i="16"/>
  <c r="L31" i="16" s="1"/>
  <c r="K128" i="16"/>
  <c r="J130" i="16"/>
  <c r="J74" i="16" s="1"/>
  <c r="M139" i="16"/>
  <c r="M123" i="16"/>
  <c r="M129" i="16" s="1"/>
  <c r="M6" i="16"/>
  <c r="L13" i="18"/>
  <c r="L14" i="18" s="1"/>
  <c r="M19" i="16"/>
  <c r="M20" i="16"/>
  <c r="K75" i="16"/>
  <c r="L54" i="16"/>
  <c r="J24" i="18"/>
  <c r="K70" i="16"/>
  <c r="N123" i="17"/>
  <c r="N20" i="17" s="1"/>
  <c r="N95" i="16" s="1"/>
  <c r="O118" i="16" s="1"/>
  <c r="O120" i="16" s="1"/>
  <c r="O96" i="16" s="1"/>
  <c r="O125" i="16" s="1"/>
  <c r="O31" i="16" s="1"/>
  <c r="N18" i="17"/>
  <c r="N16" i="16" s="1"/>
  <c r="K174" i="16"/>
  <c r="K177" i="16" s="1"/>
  <c r="L33" i="16"/>
  <c r="L181" i="16" s="1"/>
  <c r="K71" i="16"/>
  <c r="L45" i="16"/>
  <c r="K131" i="16"/>
  <c r="M78" i="16"/>
  <c r="L26" i="18" s="1"/>
  <c r="M117" i="16"/>
  <c r="M120" i="16" s="1"/>
  <c r="M96" i="16" s="1"/>
  <c r="O46" i="17"/>
  <c r="O19" i="17" s="1"/>
  <c r="O7" i="16" s="1"/>
  <c r="O18" i="16" s="1"/>
  <c r="O21" i="16" s="1"/>
  <c r="R106" i="17"/>
  <c r="G106" i="17" s="1"/>
  <c r="H107" i="17"/>
  <c r="G47" i="17"/>
  <c r="H105" i="17"/>
  <c r="G45" i="17"/>
  <c r="L57" i="16" l="1"/>
  <c r="M79" i="16"/>
  <c r="M94" i="16"/>
  <c r="M97" i="16" s="1"/>
  <c r="N94" i="16" s="1"/>
  <c r="L43" i="16"/>
  <c r="L27" i="18"/>
  <c r="L174" i="16"/>
  <c r="L177" i="16" s="1"/>
  <c r="M33" i="16"/>
  <c r="M181" i="16" s="1"/>
  <c r="L71" i="16"/>
  <c r="M50" i="16"/>
  <c r="N118" i="16"/>
  <c r="N120" i="16" s="1"/>
  <c r="N96" i="16" s="1"/>
  <c r="M13" i="18"/>
  <c r="N139" i="16"/>
  <c r="N20" i="16"/>
  <c r="N19" i="16"/>
  <c r="N6" i="16"/>
  <c r="N123" i="16"/>
  <c r="N129" i="16" s="1"/>
  <c r="O6" i="16"/>
  <c r="M125" i="16"/>
  <c r="M31" i="16" s="1"/>
  <c r="M40" i="16"/>
  <c r="L75" i="16"/>
  <c r="M54" i="16"/>
  <c r="L70" i="16"/>
  <c r="K24" i="18"/>
  <c r="L131" i="16"/>
  <c r="M45" i="16"/>
  <c r="N78" i="16"/>
  <c r="M26" i="18" s="1"/>
  <c r="M44" i="16"/>
  <c r="K130" i="16"/>
  <c r="K74" i="16" s="1"/>
  <c r="L128" i="16"/>
  <c r="M49" i="16"/>
  <c r="M42" i="16"/>
  <c r="N24" i="18"/>
  <c r="O70" i="16"/>
  <c r="O32" i="16"/>
  <c r="N17" i="18"/>
  <c r="O17" i="16"/>
  <c r="I107" i="17"/>
  <c r="H47" i="17"/>
  <c r="I105" i="17"/>
  <c r="H45" i="17"/>
  <c r="H106" i="17"/>
  <c r="G46" i="17"/>
  <c r="G19" i="17" s="1"/>
  <c r="M57" i="16" l="1"/>
  <c r="M27" i="18"/>
  <c r="M43" i="16"/>
  <c r="N44" i="16"/>
  <c r="O44" i="16" s="1"/>
  <c r="N97" i="16"/>
  <c r="N43" i="16" s="1"/>
  <c r="N45" i="16"/>
  <c r="M131" i="16"/>
  <c r="N125" i="16"/>
  <c r="N31" i="16" s="1"/>
  <c r="N49" i="16"/>
  <c r="O49" i="16" s="1"/>
  <c r="N79" i="16"/>
  <c r="M75" i="16"/>
  <c r="N54" i="16"/>
  <c r="N40" i="16"/>
  <c r="O40" i="16" s="1"/>
  <c r="M174" i="16"/>
  <c r="M177" i="16" s="1"/>
  <c r="N33" i="16"/>
  <c r="N181" i="16" s="1"/>
  <c r="M71" i="16"/>
  <c r="N50" i="16"/>
  <c r="O50" i="16" s="1"/>
  <c r="L24" i="18"/>
  <c r="M70" i="16"/>
  <c r="M128" i="16"/>
  <c r="L130" i="16"/>
  <c r="L74" i="16" s="1"/>
  <c r="M14" i="18"/>
  <c r="N14" i="18"/>
  <c r="N42" i="16"/>
  <c r="O42" i="16" s="1"/>
  <c r="N18" i="18"/>
  <c r="N22" i="18"/>
  <c r="N20" i="18"/>
  <c r="N15" i="18"/>
  <c r="G7" i="16"/>
  <c r="J107" i="17"/>
  <c r="I47" i="17"/>
  <c r="I106" i="17"/>
  <c r="H46" i="17"/>
  <c r="H19" i="17" s="1"/>
  <c r="J105" i="17"/>
  <c r="I45" i="17"/>
  <c r="N57" i="16" l="1"/>
  <c r="G18" i="16"/>
  <c r="G17" i="16" s="1"/>
  <c r="G41" i="16" s="1"/>
  <c r="G28" i="16"/>
  <c r="O94" i="16"/>
  <c r="O97" i="16" s="1"/>
  <c r="O43" i="16" s="1"/>
  <c r="N174" i="16"/>
  <c r="N177" i="16" s="1"/>
  <c r="O33" i="16"/>
  <c r="O181" i="16" s="1"/>
  <c r="N71" i="16"/>
  <c r="N70" i="16"/>
  <c r="M24" i="18"/>
  <c r="M130" i="16"/>
  <c r="M74" i="16" s="1"/>
  <c r="N128" i="16"/>
  <c r="N75" i="16"/>
  <c r="O54" i="16"/>
  <c r="O75" i="16" s="1"/>
  <c r="N131" i="16"/>
  <c r="O45" i="16"/>
  <c r="O131" i="16" s="1"/>
  <c r="N16" i="18"/>
  <c r="I41" i="18"/>
  <c r="H7" i="16"/>
  <c r="H18" i="16" s="1"/>
  <c r="K107" i="17"/>
  <c r="J47" i="17"/>
  <c r="K105" i="17"/>
  <c r="J45" i="17"/>
  <c r="J106" i="17"/>
  <c r="I46" i="17"/>
  <c r="I19" i="17" s="1"/>
  <c r="O57" i="16" l="1"/>
  <c r="G21" i="16"/>
  <c r="G32" i="16" s="1"/>
  <c r="G34" i="16" s="1"/>
  <c r="H28" i="16"/>
  <c r="G60" i="16"/>
  <c r="O128" i="16"/>
  <c r="O130" i="16" s="1"/>
  <c r="O74" i="16" s="1"/>
  <c r="N130" i="16"/>
  <c r="N74" i="16" s="1"/>
  <c r="O174" i="16"/>
  <c r="O177" i="16" s="1"/>
  <c r="O71" i="16"/>
  <c r="O34" i="16"/>
  <c r="G48" i="16"/>
  <c r="G73" i="16" s="1"/>
  <c r="H17" i="16"/>
  <c r="H41" i="16" s="1"/>
  <c r="H21" i="16"/>
  <c r="I7" i="16"/>
  <c r="I18" i="16" s="1"/>
  <c r="G72" i="16"/>
  <c r="L107" i="17"/>
  <c r="K47" i="17"/>
  <c r="K106" i="17"/>
  <c r="J46" i="17"/>
  <c r="J19" i="17" s="1"/>
  <c r="L105" i="17"/>
  <c r="K45" i="17"/>
  <c r="F17" i="18" l="1"/>
  <c r="F22" i="18" s="1"/>
  <c r="H60" i="16"/>
  <c r="I28" i="16"/>
  <c r="F31" i="18"/>
  <c r="F15" i="18"/>
  <c r="F16" i="18" s="1"/>
  <c r="H32" i="16"/>
  <c r="H34" i="16" s="1"/>
  <c r="G17" i="18"/>
  <c r="H48" i="16"/>
  <c r="H73" i="16" s="1"/>
  <c r="I17" i="16"/>
  <c r="I41" i="16" s="1"/>
  <c r="I21" i="16"/>
  <c r="J7" i="16"/>
  <c r="J18" i="16" s="1"/>
  <c r="H72" i="16"/>
  <c r="M107" i="17"/>
  <c r="L47" i="17"/>
  <c r="M105" i="17"/>
  <c r="L45" i="17"/>
  <c r="L106" i="17"/>
  <c r="K46" i="17"/>
  <c r="K19" i="17" s="1"/>
  <c r="G15" i="18" l="1"/>
  <c r="G16" i="18" s="1"/>
  <c r="F20" i="18"/>
  <c r="F18" i="18"/>
  <c r="J28" i="16"/>
  <c r="I60" i="16"/>
  <c r="F32" i="18"/>
  <c r="F25" i="18"/>
  <c r="F29" i="18" s="1"/>
  <c r="F37" i="18" s="1"/>
  <c r="F38" i="18" s="1"/>
  <c r="G31" i="18"/>
  <c r="G25" i="18" s="1"/>
  <c r="I32" i="16"/>
  <c r="I34" i="16" s="1"/>
  <c r="H17" i="18"/>
  <c r="G22" i="18"/>
  <c r="G20" i="18"/>
  <c r="G18" i="18"/>
  <c r="I48" i="16"/>
  <c r="H31" i="18" s="1"/>
  <c r="J17" i="16"/>
  <c r="J41" i="16" s="1"/>
  <c r="J21" i="16"/>
  <c r="K7" i="16"/>
  <c r="K18" i="16" s="1"/>
  <c r="I72" i="16"/>
  <c r="N107" i="17"/>
  <c r="N47" i="17" s="1"/>
  <c r="M47" i="17"/>
  <c r="M106" i="17"/>
  <c r="L46" i="17"/>
  <c r="L19" i="17" s="1"/>
  <c r="N105" i="17"/>
  <c r="N45" i="17" s="1"/>
  <c r="M45" i="17"/>
  <c r="J60" i="16" l="1"/>
  <c r="K28" i="16"/>
  <c r="H32" i="18"/>
  <c r="G29" i="18"/>
  <c r="G37" i="18" s="1"/>
  <c r="G38" i="18" s="1"/>
  <c r="H25" i="18"/>
  <c r="G32" i="18"/>
  <c r="H15" i="18"/>
  <c r="H16" i="18" s="1"/>
  <c r="J32" i="16"/>
  <c r="I15" i="18" s="1"/>
  <c r="I17" i="18"/>
  <c r="H20" i="18"/>
  <c r="H22" i="18"/>
  <c r="H18" i="18"/>
  <c r="J48" i="16"/>
  <c r="J73" i="16" s="1"/>
  <c r="I73" i="16"/>
  <c r="K21" i="16"/>
  <c r="K17" i="16"/>
  <c r="K41" i="16" s="1"/>
  <c r="L7" i="16"/>
  <c r="L18" i="16" s="1"/>
  <c r="J72" i="16"/>
  <c r="N106" i="17"/>
  <c r="N46" i="17" s="1"/>
  <c r="N19" i="17" s="1"/>
  <c r="M46" i="17"/>
  <c r="M19" i="17" s="1"/>
  <c r="H29" i="18" l="1"/>
  <c r="H37" i="18" s="1"/>
  <c r="H38" i="18" s="1"/>
  <c r="L28" i="16"/>
  <c r="K60" i="16"/>
  <c r="K32" i="16"/>
  <c r="J17" i="18"/>
  <c r="I31" i="18"/>
  <c r="J34" i="16"/>
  <c r="I22" i="18"/>
  <c r="I20" i="18"/>
  <c r="I18" i="18"/>
  <c r="I16" i="18"/>
  <c r="K48" i="16"/>
  <c r="K73" i="16" s="1"/>
  <c r="L17" i="16"/>
  <c r="L41" i="16" s="1"/>
  <c r="L21" i="16"/>
  <c r="N7" i="16"/>
  <c r="N18" i="16" s="1"/>
  <c r="M7" i="16"/>
  <c r="M18" i="16" s="1"/>
  <c r="K72" i="16"/>
  <c r="L60" i="16" l="1"/>
  <c r="M28" i="16"/>
  <c r="N28" i="16" s="1"/>
  <c r="O28" i="16" s="1"/>
  <c r="I32" i="18"/>
  <c r="J18" i="18"/>
  <c r="J22" i="18"/>
  <c r="J20" i="18"/>
  <c r="K34" i="16"/>
  <c r="J15" i="18"/>
  <c r="J16" i="18" s="1"/>
  <c r="L32" i="16"/>
  <c r="K17" i="18"/>
  <c r="J31" i="18"/>
  <c r="J25" i="18" s="1"/>
  <c r="I25" i="18"/>
  <c r="I29" i="18" s="1"/>
  <c r="I37" i="18" s="1"/>
  <c r="L48" i="16"/>
  <c r="L73" i="16" s="1"/>
  <c r="M21" i="16"/>
  <c r="M17" i="16"/>
  <c r="M41" i="16" s="1"/>
  <c r="N21" i="16"/>
  <c r="N17" i="16"/>
  <c r="L72" i="16"/>
  <c r="M60" i="16" l="1"/>
  <c r="N60" i="16" s="1"/>
  <c r="O60" i="16" s="1"/>
  <c r="K31" i="18"/>
  <c r="K32" i="18" s="1"/>
  <c r="K22" i="18"/>
  <c r="K20" i="18"/>
  <c r="K18" i="18"/>
  <c r="N32" i="16"/>
  <c r="M17" i="18"/>
  <c r="J32" i="18"/>
  <c r="L34" i="16"/>
  <c r="K15" i="18"/>
  <c r="K16" i="18" s="1"/>
  <c r="J29" i="18"/>
  <c r="J37" i="18" s="1"/>
  <c r="J38" i="18" s="1"/>
  <c r="M32" i="16"/>
  <c r="L17" i="18"/>
  <c r="I38" i="18"/>
  <c r="M48" i="16"/>
  <c r="N48" i="16" s="1"/>
  <c r="M72" i="16"/>
  <c r="N41" i="16"/>
  <c r="K25" i="18" l="1"/>
  <c r="K29" i="18" s="1"/>
  <c r="K37" i="18" s="1"/>
  <c r="K38" i="18" s="1"/>
  <c r="M31" i="18"/>
  <c r="M32" i="18" s="1"/>
  <c r="M18" i="18"/>
  <c r="M22" i="18"/>
  <c r="M20" i="18"/>
  <c r="N34" i="16"/>
  <c r="M15" i="18"/>
  <c r="M16" i="18" s="1"/>
  <c r="M34" i="16"/>
  <c r="L15" i="18"/>
  <c r="L16" i="18" s="1"/>
  <c r="L22" i="18"/>
  <c r="L18" i="18"/>
  <c r="L20" i="18"/>
  <c r="L31" i="18"/>
  <c r="M73" i="16"/>
  <c r="N73" i="16"/>
  <c r="O48" i="16"/>
  <c r="O41" i="16"/>
  <c r="N72" i="16"/>
  <c r="O72" i="16" l="1"/>
  <c r="N31" i="18"/>
  <c r="M25" i="18"/>
  <c r="M29" i="18" s="1"/>
  <c r="M37" i="18" s="1"/>
  <c r="M38" i="18" s="1"/>
  <c r="L32" i="18"/>
  <c r="L25" i="18"/>
  <c r="L29" i="18" s="1"/>
  <c r="L37" i="18" s="1"/>
  <c r="L38" i="18" s="1"/>
  <c r="O73" i="16"/>
  <c r="N32" i="18" l="1"/>
  <c r="N25" i="18"/>
  <c r="N29" i="18" s="1"/>
  <c r="N37" i="18" l="1"/>
  <c r="C43" i="18" l="1"/>
  <c r="C50" i="18" s="1"/>
  <c r="N38" i="18"/>
  <c r="C45" i="18" s="1"/>
  <c r="I45" i="18" s="1"/>
  <c r="I43" i="18"/>
  <c r="I50" i="18" s="1"/>
  <c r="C44" i="18" l="1"/>
  <c r="C46" i="18" s="1"/>
  <c r="C68" i="18" s="1"/>
  <c r="I44" i="18"/>
  <c r="I46" i="18" l="1"/>
  <c r="D68" i="18" s="1"/>
  <c r="D70" i="18" s="1"/>
  <c r="C48" i="18"/>
  <c r="C49" i="18" s="1"/>
  <c r="G72" i="18"/>
  <c r="I71" i="18"/>
  <c r="G71" i="18"/>
  <c r="C70" i="18"/>
  <c r="L4" i="17" s="1"/>
  <c r="I70" i="18"/>
  <c r="G70" i="18"/>
  <c r="I72" i="18"/>
  <c r="K4" i="18" l="1"/>
  <c r="C72" i="18"/>
  <c r="N4" i="17" s="1"/>
  <c r="I48" i="18"/>
  <c r="I49" i="18" s="1"/>
  <c r="H72" i="18"/>
  <c r="J72" i="18"/>
  <c r="H71" i="18"/>
  <c r="H70" i="18"/>
  <c r="J70" i="18"/>
  <c r="D72" i="18"/>
  <c r="H86" i="18" s="1"/>
  <c r="J71" i="18"/>
  <c r="M4" i="18" l="1"/>
  <c r="H77" i="18"/>
  <c r="F22" i="16"/>
  <c r="G22" i="16"/>
  <c r="H22" i="16"/>
  <c r="I22" i="16"/>
  <c r="J22" i="16"/>
  <c r="K22" i="16"/>
  <c r="L22" i="16"/>
  <c r="M22" i="16"/>
  <c r="N22" i="16"/>
  <c r="O22" i="16"/>
  <c r="F23" i="16"/>
  <c r="G23" i="16"/>
  <c r="H23" i="16"/>
  <c r="I23" i="16"/>
  <c r="J23" i="16"/>
  <c r="K23" i="16"/>
  <c r="L23" i="16"/>
  <c r="M23" i="16"/>
  <c r="N23" i="16"/>
  <c r="O23" i="16"/>
  <c r="F26" i="16"/>
  <c r="G26" i="16"/>
  <c r="H26" i="16"/>
  <c r="I26" i="16"/>
  <c r="J26" i="16"/>
  <c r="K26" i="16"/>
  <c r="L26" i="16"/>
  <c r="M26" i="16"/>
  <c r="N26" i="16"/>
  <c r="O26" i="16"/>
  <c r="F27" i="16"/>
  <c r="G27" i="16"/>
  <c r="H27" i="16"/>
  <c r="I27" i="16"/>
  <c r="J27" i="16"/>
  <c r="K27" i="16"/>
  <c r="L27" i="16"/>
  <c r="M27" i="16"/>
  <c r="N27" i="16"/>
  <c r="O27" i="16"/>
  <c r="F29" i="16"/>
  <c r="G29" i="16"/>
  <c r="H29" i="16"/>
  <c r="I29" i="16"/>
  <c r="J29" i="16"/>
  <c r="K29" i="16"/>
  <c r="L29" i="16"/>
  <c r="M29" i="16"/>
  <c r="N29" i="16"/>
  <c r="O29" i="16"/>
  <c r="F39" i="16"/>
  <c r="G39" i="16"/>
  <c r="H39" i="16"/>
  <c r="I39" i="16"/>
  <c r="J39" i="16"/>
  <c r="K39" i="16"/>
  <c r="L39" i="16"/>
  <c r="M39" i="16"/>
  <c r="N39" i="16"/>
  <c r="O39" i="16"/>
  <c r="F46" i="16"/>
  <c r="G46" i="16"/>
  <c r="H46" i="16"/>
  <c r="I46" i="16"/>
  <c r="J46" i="16"/>
  <c r="K46" i="16"/>
  <c r="L46" i="16"/>
  <c r="M46" i="16"/>
  <c r="N46" i="16"/>
  <c r="O46" i="16"/>
  <c r="F51" i="16"/>
  <c r="G51" i="16"/>
  <c r="H51" i="16"/>
  <c r="I51" i="16"/>
  <c r="J51" i="16"/>
  <c r="K51" i="16"/>
  <c r="L51" i="16"/>
  <c r="M51" i="16"/>
  <c r="N51" i="16"/>
  <c r="O51" i="16"/>
  <c r="F55" i="16"/>
  <c r="G55" i="16"/>
  <c r="H55" i="16"/>
  <c r="I55" i="16"/>
  <c r="J55" i="16"/>
  <c r="K55" i="16"/>
  <c r="L55" i="16"/>
  <c r="M55" i="16"/>
  <c r="N55" i="16"/>
  <c r="O55" i="16"/>
  <c r="F58" i="16"/>
  <c r="G58" i="16"/>
  <c r="H58" i="16"/>
  <c r="I58" i="16"/>
  <c r="J58" i="16"/>
  <c r="K58" i="16"/>
  <c r="L58" i="16"/>
  <c r="M58" i="16"/>
  <c r="N58" i="16"/>
  <c r="O58" i="16"/>
  <c r="F61" i="16"/>
  <c r="G61" i="16"/>
  <c r="H61" i="16"/>
  <c r="I61" i="16"/>
  <c r="J61" i="16"/>
  <c r="K61" i="16"/>
  <c r="L61" i="16"/>
  <c r="M61" i="16"/>
  <c r="N61" i="16"/>
  <c r="O61" i="16"/>
  <c r="F63" i="16"/>
  <c r="G63" i="16"/>
  <c r="H63" i="16"/>
  <c r="I63" i="16"/>
  <c r="J63" i="16"/>
  <c r="K63" i="16"/>
  <c r="L63" i="16"/>
  <c r="M63" i="16"/>
  <c r="N63" i="16"/>
  <c r="O63" i="16"/>
  <c r="F69" i="16"/>
  <c r="G69" i="16"/>
  <c r="H69" i="16"/>
  <c r="I69" i="16"/>
  <c r="J69" i="16"/>
  <c r="K69" i="16"/>
  <c r="L69" i="16"/>
  <c r="M69" i="16"/>
  <c r="N69" i="16"/>
  <c r="O69" i="16"/>
  <c r="F76" i="16"/>
  <c r="G76" i="16"/>
  <c r="H76" i="16"/>
  <c r="I76" i="16"/>
  <c r="J76" i="16"/>
  <c r="K76" i="16"/>
  <c r="L76" i="16"/>
  <c r="M76" i="16"/>
  <c r="N76" i="16"/>
  <c r="O76" i="16"/>
  <c r="F84" i="16"/>
  <c r="G84" i="16"/>
  <c r="H84" i="16"/>
  <c r="I84" i="16"/>
  <c r="J84" i="16"/>
  <c r="K84" i="16"/>
  <c r="L84" i="16"/>
  <c r="M84" i="16"/>
  <c r="N84" i="16"/>
  <c r="O84" i="16"/>
  <c r="F85" i="16"/>
  <c r="G85" i="16"/>
  <c r="H85" i="16"/>
  <c r="I85" i="16"/>
  <c r="J85" i="16"/>
  <c r="K85" i="16"/>
  <c r="L85" i="16"/>
  <c r="M85" i="16"/>
  <c r="N85" i="16"/>
  <c r="O85" i="16"/>
  <c r="F87" i="16"/>
  <c r="G87" i="16"/>
  <c r="H87" i="16"/>
  <c r="I87" i="16"/>
  <c r="J87" i="16"/>
  <c r="K87" i="16"/>
  <c r="L87" i="16"/>
  <c r="M87" i="16"/>
  <c r="N87" i="16"/>
  <c r="O87" i="16"/>
  <c r="G138" i="16"/>
  <c r="H138" i="16"/>
  <c r="I138" i="16"/>
  <c r="J138" i="16"/>
  <c r="K138" i="16"/>
  <c r="L138" i="16"/>
  <c r="M138" i="16"/>
  <c r="N138" i="16"/>
  <c r="O138" i="16"/>
  <c r="F140" i="16"/>
  <c r="G140" i="16"/>
  <c r="H140" i="16"/>
  <c r="I140" i="16"/>
  <c r="J140" i="16"/>
  <c r="K140" i="16"/>
  <c r="L140" i="16"/>
  <c r="M140" i="16"/>
  <c r="N140" i="16"/>
  <c r="O140" i="16"/>
  <c r="F141" i="16"/>
  <c r="G141" i="16"/>
  <c r="H141" i="16"/>
  <c r="I141" i="16"/>
  <c r="J141" i="16"/>
  <c r="K141" i="16"/>
  <c r="L141" i="16"/>
  <c r="M141" i="16"/>
  <c r="N141" i="16"/>
  <c r="O141" i="16"/>
  <c r="G144" i="16"/>
  <c r="H144" i="16"/>
  <c r="I144" i="16"/>
  <c r="J144" i="16"/>
  <c r="K144" i="16"/>
  <c r="L144" i="16"/>
  <c r="M144" i="16"/>
  <c r="N144" i="16"/>
  <c r="O144" i="16"/>
  <c r="F145" i="16"/>
  <c r="G145" i="16"/>
  <c r="H145" i="16"/>
  <c r="I145" i="16"/>
  <c r="J145" i="16"/>
  <c r="K145" i="16"/>
  <c r="L145" i="16"/>
  <c r="M145" i="16"/>
  <c r="N145" i="16"/>
  <c r="O145" i="16"/>
  <c r="F147" i="16"/>
  <c r="G147" i="16"/>
  <c r="H147" i="16"/>
  <c r="I147" i="16"/>
  <c r="J147" i="16"/>
  <c r="K147" i="16"/>
  <c r="L147" i="16"/>
  <c r="M147" i="16"/>
  <c r="N147" i="16"/>
  <c r="O147" i="16"/>
  <c r="F153" i="16"/>
  <c r="G153" i="16"/>
  <c r="H153" i="16"/>
  <c r="I153" i="16"/>
  <c r="J153" i="16"/>
  <c r="K153" i="16"/>
  <c r="L153" i="16"/>
  <c r="M153" i="16"/>
  <c r="N153" i="16"/>
  <c r="O153" i="16"/>
  <c r="F157" i="16"/>
  <c r="G157" i="16"/>
  <c r="H157" i="16"/>
  <c r="I157" i="16"/>
  <c r="J157" i="16"/>
  <c r="K157" i="16"/>
  <c r="L157" i="16"/>
  <c r="M157" i="16"/>
  <c r="N157" i="16"/>
  <c r="O157" i="16"/>
  <c r="F158" i="16"/>
  <c r="G158" i="16"/>
  <c r="H158" i="16"/>
  <c r="I158" i="16"/>
  <c r="J158" i="16"/>
  <c r="K158" i="16"/>
  <c r="L158" i="16"/>
  <c r="M158" i="16"/>
  <c r="N158" i="16"/>
  <c r="O158" i="16"/>
  <c r="F167" i="16"/>
  <c r="G167" i="16"/>
  <c r="H167" i="16"/>
  <c r="I167" i="16"/>
  <c r="J167" i="16"/>
  <c r="K167" i="16"/>
  <c r="L167" i="16"/>
  <c r="M167" i="16"/>
  <c r="N167" i="16"/>
  <c r="O167" i="16"/>
  <c r="F173" i="16"/>
  <c r="G173" i="16"/>
  <c r="H173" i="16"/>
  <c r="I173" i="16"/>
  <c r="J173" i="16"/>
  <c r="K173" i="16"/>
  <c r="L173" i="16"/>
  <c r="M173" i="16"/>
  <c r="N173" i="16"/>
  <c r="O173" i="16"/>
  <c r="F175" i="16"/>
  <c r="G175" i="16"/>
  <c r="H175" i="16"/>
  <c r="I175" i="16"/>
  <c r="J175" i="16"/>
  <c r="K175" i="16"/>
  <c r="L175" i="16"/>
  <c r="M175" i="16"/>
  <c r="N175" i="16"/>
  <c r="O175" i="16"/>
  <c r="F178" i="16"/>
  <c r="G178" i="16"/>
  <c r="H178" i="16"/>
  <c r="I178" i="16"/>
  <c r="J178" i="16"/>
  <c r="K178" i="16"/>
  <c r="L178" i="16"/>
  <c r="M178" i="16"/>
  <c r="N178" i="16"/>
  <c r="O178"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Paolo Cadoni</author>
  </authors>
  <commentList>
    <comment ref="K7" authorId="0" shapeId="0" xr:uid="{1452BC79-229C-4F93-AE3A-9C30F0983C43}">
      <text>
        <r>
          <rPr>
            <sz val="9"/>
            <color indexed="81"/>
            <rFont val="Tahoma"/>
            <family val="2"/>
          </rPr>
          <t>The video's data are not updated, but the rationale that drives them is the same and you can use it to ponder on your own valuation.</t>
        </r>
      </text>
    </comment>
    <comment ref="U26" authorId="0" shapeId="0" xr:uid="{E9EB84F1-18A4-41E3-8366-FDD8B876DB3F}">
      <text>
        <r>
          <rPr>
            <sz val="9"/>
            <color indexed="81"/>
            <rFont val="Tahoma"/>
            <family val="2"/>
          </rPr>
          <t>Source: Ark invest</t>
        </r>
      </text>
    </comment>
    <comment ref="D85" authorId="0" shapeId="0" xr:uid="{18DF53FB-6C6B-48B5-9609-AF0B4B8CEB37}">
      <text>
        <r>
          <rPr>
            <b/>
            <sz val="9"/>
            <color indexed="81"/>
            <rFont val="Tahoma"/>
            <family val="2"/>
          </rPr>
          <t>April</t>
        </r>
      </text>
    </comment>
    <comment ref="E85" authorId="0" shapeId="0" xr:uid="{D1325DE3-FBD3-41A7-BEDA-DC6F461A8466}">
      <text>
        <r>
          <rPr>
            <b/>
            <sz val="9"/>
            <color indexed="81"/>
            <rFont val="Tahoma"/>
            <family val="2"/>
          </rPr>
          <t>June</t>
        </r>
      </text>
    </comment>
    <comment ref="B91" authorId="0" shapeId="0" xr:uid="{2E2FC37F-A38F-4754-9331-73F1807A9363}">
      <text>
        <r>
          <rPr>
            <sz val="9"/>
            <color indexed="81"/>
            <rFont val="Tahoma"/>
            <family val="2"/>
          </rPr>
          <t>This excludes solar for commercial customers.
We couldn't make valid assumptions for it, moreover, the relevance of solar (considering its 6% margin) is so low that it ends up being barely a statistical error, therefore we don’t think it’s worth analyzing.</t>
        </r>
      </text>
    </comment>
    <comment ref="O92" authorId="0" shapeId="0" xr:uid="{3D5E35F9-AA35-4FEF-8735-40FA48548807}">
      <text>
        <r>
          <rPr>
            <sz val="9"/>
            <color indexed="81"/>
            <rFont val="Tahoma"/>
            <family val="2"/>
          </rPr>
          <t>Elon Musk's goal</t>
        </r>
      </text>
    </comment>
    <comment ref="E95" authorId="0" shapeId="0" xr:uid="{0D3F912D-F4E8-4BC2-92B3-6F973D46D0E2}">
      <text>
        <r>
          <rPr>
            <sz val="9"/>
            <color indexed="81"/>
            <rFont val="Tahoma"/>
            <family val="2"/>
          </rPr>
          <t>Solar roof cost assuming US average input</t>
        </r>
      </text>
    </comment>
    <comment ref="F98" authorId="0" shapeId="0" xr:uid="{B335FF5F-21DD-426E-BEAF-6832D015793F}">
      <text>
        <r>
          <rPr>
            <sz val="9"/>
            <color indexed="81"/>
            <rFont val="Tahoma"/>
            <family val="2"/>
          </rPr>
          <t>Average from Megapack and Powerwall</t>
        </r>
      </text>
    </comment>
    <comment ref="O105" authorId="0" shapeId="0" xr:uid="{857C291B-A26E-4865-96C4-8813D1561800}">
      <text>
        <r>
          <rPr>
            <sz val="9"/>
            <color indexed="81"/>
            <rFont val="Tahoma"/>
            <family val="2"/>
          </rPr>
          <t xml:space="preserve">Tesla aim "comparable margins in energy storage as in vehicles" </t>
        </r>
      </text>
    </comment>
    <comment ref="B108" authorId="0" shapeId="0" xr:uid="{941CB087-8D56-4F18-AD73-8B8DD03D8209}">
      <text>
        <r>
          <rPr>
            <sz val="9"/>
            <color indexed="81"/>
            <rFont val="Tahoma"/>
            <family val="2"/>
          </rPr>
          <t>Although Tesla's goal of becoming a “giant distributed global utility” is probably their biggest opportunity, we don’t think that it could become a reality within the next 10 years assuming current energy storage applications’ capacity.
The likelihood of Tesla succeeding in such regard could drastically increase if they boost their applications’ capacity and stabilize the relationship with different authorities (both difficult factors to model).
min 12:38 of this video if you want to know more: https://www.youtube.com/watch?v=f0u1chVXlEU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Paolo Cadoni</author>
  </authors>
  <commentList>
    <comment ref="H6" authorId="0" shapeId="0" xr:uid="{A9155343-4359-46F8-BAF4-0553872F5B2B}">
      <text>
        <r>
          <rPr>
            <sz val="9"/>
            <color indexed="81"/>
            <rFont val="Tahoma"/>
            <family val="2"/>
          </rPr>
          <t>Midyear convention?
1=Yes: CFs are generated in the middle of the year
0=No: CFs are generated at the end of the year</t>
        </r>
      </text>
    </comment>
    <comment ref="B75" authorId="1" shapeId="0" xr:uid="{B6D04913-9FAE-421E-B1AE-F5CC3EA8D028}">
      <text>
        <r>
          <rPr>
            <sz val="9"/>
            <color indexed="81"/>
            <rFont val="Tahoma"/>
            <family val="2"/>
          </rPr>
          <t xml:space="preserve">Highlight the tables on the right and click </t>
        </r>
        <r>
          <rPr>
            <b/>
            <sz val="9"/>
            <color indexed="81"/>
            <rFont val="Tahoma"/>
            <family val="2"/>
          </rPr>
          <t>“F9” to refresh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Paolo Cadoni</author>
    <author>Matan Feldman</author>
  </authors>
  <commentList>
    <comment ref="C3" authorId="0" shapeId="0" xr:uid="{A8366E78-90D0-4511-8187-FD47B7ECE98A}">
      <text>
        <r>
          <rPr>
            <sz val="9"/>
            <color indexed="81"/>
            <rFont val="Tahoma"/>
            <family val="2"/>
          </rPr>
          <t>If you see an error (ex. DIV/0, VALUE) turn this off and then on.</t>
        </r>
      </text>
    </comment>
    <comment ref="F107" authorId="1" shapeId="0" xr:uid="{09EBD736-D085-4746-9376-44179A72C6A2}">
      <text>
        <r>
          <rPr>
            <sz val="9"/>
            <color indexed="81"/>
            <rFont val="Tahoma"/>
            <family val="2"/>
          </rPr>
          <t>1 = Full year of depreciation
0.5 = Half year of depreciation
0 = No depreciation in the year</t>
        </r>
      </text>
    </comment>
    <comment ref="D156" authorId="1" shapeId="0" xr:uid="{FCD33466-380B-4201-AF9C-7E6392B55EE0}">
      <text>
        <r>
          <rPr>
            <sz val="9"/>
            <color indexed="81"/>
            <rFont val="Tahoma"/>
            <family val="2"/>
          </rPr>
          <t>interest expenses / debt</t>
        </r>
      </text>
    </comment>
    <comment ref="E166" authorId="1" shapeId="0" xr:uid="{3F2D8884-36A3-412C-A0B6-FB96F0D519A1}">
      <text>
        <r>
          <rPr>
            <sz val="9"/>
            <color indexed="81"/>
            <rFont val="Tahoma"/>
            <family val="2"/>
          </rPr>
          <t>interest income / cash balance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<sst xmlns="http://schemas.openxmlformats.org/spreadsheetml/2006/main" count="565" uniqueCount="418">
  <si>
    <t>Income Statement</t>
  </si>
  <si>
    <t>LTM</t>
  </si>
  <si>
    <t>Revenues</t>
  </si>
  <si>
    <t>Total Revenues</t>
  </si>
  <si>
    <t>   % Change YoY</t>
  </si>
  <si>
    <t>Cost of Goods Sold</t>
  </si>
  <si>
    <t>Gross Profit</t>
  </si>
  <si>
    <t>   % Gross Margins</t>
  </si>
  <si>
    <t>Selling General &amp; Admin Expenses</t>
  </si>
  <si>
    <t>R&amp;D Expenses</t>
  </si>
  <si>
    <t>Depreciation &amp; Amortization</t>
  </si>
  <si>
    <t>Amortization of Goodwill and Intangible Assets</t>
  </si>
  <si>
    <t>Other Operating Expenses</t>
  </si>
  <si>
    <t>Operating Income</t>
  </si>
  <si>
    <t>   % Operating Margins</t>
  </si>
  <si>
    <t>Interest Expense</t>
  </si>
  <si>
    <t>Interest And Investment Income</t>
  </si>
  <si>
    <t>Currency Exchange Gains (Loss)</t>
  </si>
  <si>
    <t>Other Non Operating Income (Expenses)</t>
  </si>
  <si>
    <t>EBT Excl. Unusual Items</t>
  </si>
  <si>
    <t>Merger &amp; Restructuring Charges</t>
  </si>
  <si>
    <t>Impairment of Goodwill</t>
  </si>
  <si>
    <t>Asset Writedown</t>
  </si>
  <si>
    <t>Other Unusual Items</t>
  </si>
  <si>
    <t>EBT Incl. Unusual Items</t>
  </si>
  <si>
    <t>Income Tax Expense</t>
  </si>
  <si>
    <t>Earnings From Continuing Operations</t>
  </si>
  <si>
    <t>Net Income to Company</t>
  </si>
  <si>
    <t>Net Income</t>
  </si>
  <si>
    <t>Net Income to Common Incl Extra Items</t>
  </si>
  <si>
    <t>   % Net Income to Common Incl Extra Items Margins</t>
  </si>
  <si>
    <t>Net Income to Common Excl. Extra Items</t>
  </si>
  <si>
    <t>   % Net Income to Common Excl. Extra Items Margins</t>
  </si>
  <si>
    <t>Supplementary Data:</t>
  </si>
  <si>
    <t>Diluted EPS Excl Extra Items</t>
  </si>
  <si>
    <t>Weighted Average Diluted Shares Outstanding</t>
  </si>
  <si>
    <t>Weighted Average Basic Shares Outstanding</t>
  </si>
  <si>
    <t>Basic EPS</t>
  </si>
  <si>
    <t>EBITDA</t>
  </si>
  <si>
    <t>EBITDAR</t>
  </si>
  <si>
    <t>R&amp;D Expense</t>
  </si>
  <si>
    <t>Effective Tax Rate %</t>
  </si>
  <si>
    <t>Balance Sheet</t>
  </si>
  <si>
    <t>Cash And Equivalents</t>
  </si>
  <si>
    <t>Short Term Investments</t>
  </si>
  <si>
    <t>Total Cash And Short Term Investments</t>
  </si>
  <si>
    <t>Accounts Receivable</t>
  </si>
  <si>
    <t>Total Receivables</t>
  </si>
  <si>
    <t>Inventory</t>
  </si>
  <si>
    <t>Other Current Assets</t>
  </si>
  <si>
    <t>Total Current Assets</t>
  </si>
  <si>
    <t>Gross Property Plant And Equipment</t>
  </si>
  <si>
    <t>Accumulated Depreciation</t>
  </si>
  <si>
    <t>Net Property Plant And Equipment</t>
  </si>
  <si>
    <t>Long-term Investments</t>
  </si>
  <si>
    <t>Goodwill</t>
  </si>
  <si>
    <t>Other Intangibles</t>
  </si>
  <si>
    <t>Other Long-Term Assets</t>
  </si>
  <si>
    <t>Total Assets</t>
  </si>
  <si>
    <t>Accounts Payable</t>
  </si>
  <si>
    <t>Accrued Expenses</t>
  </si>
  <si>
    <t>Current Portion of Long-Term Debt</t>
  </si>
  <si>
    <t>Current Portion of Capital Lease Obligations</t>
  </si>
  <si>
    <t>Current Income Taxes Payable</t>
  </si>
  <si>
    <t>Other Current Liabilities</t>
  </si>
  <si>
    <t>Total Current Liabilities</t>
  </si>
  <si>
    <t>Long-Term Debt</t>
  </si>
  <si>
    <t>Capital Leases</t>
  </si>
  <si>
    <t>Deferred Tax Liability Non Current</t>
  </si>
  <si>
    <t>Other Non Current Liabilities</t>
  </si>
  <si>
    <t>Total Liabilities</t>
  </si>
  <si>
    <t>Additional Paid In Capital</t>
  </si>
  <si>
    <t>Retained Earnings</t>
  </si>
  <si>
    <t>Comprehensive Income and Other</t>
  </si>
  <si>
    <t>Total Common Equity</t>
  </si>
  <si>
    <t>Total Equity</t>
  </si>
  <si>
    <t>Total Liabilities And Equity</t>
  </si>
  <si>
    <t>Total Shares Out. on Filing Date</t>
  </si>
  <si>
    <t>Book Value/Share</t>
  </si>
  <si>
    <t>Tangible Book Value</t>
  </si>
  <si>
    <t>Tangible Book Value/Share</t>
  </si>
  <si>
    <t>Total Debt</t>
  </si>
  <si>
    <t>Net Debt</t>
  </si>
  <si>
    <t>Land</t>
  </si>
  <si>
    <t>Buildings</t>
  </si>
  <si>
    <t>Full Time Employees</t>
  </si>
  <si>
    <t>Cash Flow Statement</t>
  </si>
  <si>
    <t>Total Depreciation &amp; Amortization</t>
  </si>
  <si>
    <t>Amortization of Deferred Charges</t>
  </si>
  <si>
    <t>(Gain) Loss From Sale Of Asset</t>
  </si>
  <si>
    <t>Asset Writedown &amp; Restructuring Costs</t>
  </si>
  <si>
    <t>Stock-Based Compensation</t>
  </si>
  <si>
    <t>Tax Benefit from Stock Options</t>
  </si>
  <si>
    <t>Other Operating Activities</t>
  </si>
  <si>
    <t>Change In Accounts Receivable</t>
  </si>
  <si>
    <t>Change In Inventories</t>
  </si>
  <si>
    <t>Change In Accounts Payable</t>
  </si>
  <si>
    <t>Change in Unearned Revenues</t>
  </si>
  <si>
    <t>Change in Other Net Operating Assets</t>
  </si>
  <si>
    <t>Cash from Operations</t>
  </si>
  <si>
    <t>Memo: Change in Net Working Capital</t>
  </si>
  <si>
    <t>Capital Expenditure</t>
  </si>
  <si>
    <t>Cash Acquisitions</t>
  </si>
  <si>
    <t>Investment in Marketable and Equity Securities</t>
  </si>
  <si>
    <t>Other Investing Activities</t>
  </si>
  <si>
    <t>Cash from Investing</t>
  </si>
  <si>
    <t>Total Debt Issued</t>
  </si>
  <si>
    <t>Total Debt Repaid</t>
  </si>
  <si>
    <t>Issuance of Common Stock</t>
  </si>
  <si>
    <t>Other Financing Activities</t>
  </si>
  <si>
    <t>Cash from Financing</t>
  </si>
  <si>
    <t>Foreign Exchange Rate Adjustments</t>
  </si>
  <si>
    <t>Net Change in Cash</t>
  </si>
  <si>
    <t>Cash and Cash Equivalents, Beginning of Period</t>
  </si>
  <si>
    <t>Cash and Cash Equivalents, End of Period</t>
  </si>
  <si>
    <t>Cash Interest Paid</t>
  </si>
  <si>
    <t>Cash Taxes Paid</t>
  </si>
  <si>
    <t>Cash Flow per Share</t>
  </si>
  <si>
    <t>Price</t>
  </si>
  <si>
    <t>Ratios</t>
  </si>
  <si>
    <t>Return Ratios:</t>
  </si>
  <si>
    <t>Return on Assets %</t>
  </si>
  <si>
    <t>Return on Capital %</t>
  </si>
  <si>
    <t>Return On Equity %</t>
  </si>
  <si>
    <t>Return on Common Equity %</t>
  </si>
  <si>
    <t>Margin Analysis:</t>
  </si>
  <si>
    <t>Gross Profit Margin %</t>
  </si>
  <si>
    <t>SG&amp;A Margin %</t>
  </si>
  <si>
    <t>EBITDA Margin %</t>
  </si>
  <si>
    <t>EBITA Margin %</t>
  </si>
  <si>
    <t>EBIT Margin %</t>
  </si>
  <si>
    <t>Income From Continuing Operations Margin %</t>
  </si>
  <si>
    <t>Net Income Margin %</t>
  </si>
  <si>
    <t>Normalized Net Income Margin %</t>
  </si>
  <si>
    <t>Net Avail. For Common Margin %</t>
  </si>
  <si>
    <t>Levered Free Cash Flow Margin %</t>
  </si>
  <si>
    <t>Unlevered Free Cash Flow Margin %</t>
  </si>
  <si>
    <t>Asset Turnover:</t>
  </si>
  <si>
    <t>Asset Turnover</t>
  </si>
  <si>
    <t>Fixed Assets Turnover</t>
  </si>
  <si>
    <t>Receivables Turnover</t>
  </si>
  <si>
    <t>Inventory Turnover</t>
  </si>
  <si>
    <t>Working Capital Turnover</t>
  </si>
  <si>
    <t>Short Term Liquidity:</t>
  </si>
  <si>
    <t>Current Ratio</t>
  </si>
  <si>
    <t>Quick Ratio</t>
  </si>
  <si>
    <t>Op Cash Flow to Current Liab</t>
  </si>
  <si>
    <t>Avg. Cash Conversion Cycle</t>
  </si>
  <si>
    <t>Avg. Days Sales Outstanding</t>
  </si>
  <si>
    <t>Avg. Days Outstanding Inventory</t>
  </si>
  <si>
    <t>Avg. Days Payable Outstanding</t>
  </si>
  <si>
    <t>Long-Term Solvency:</t>
  </si>
  <si>
    <t>Total Debt / Equity</t>
  </si>
  <si>
    <t>Total Debt / Capital</t>
  </si>
  <si>
    <t>Total Liabilities / Total Assets</t>
  </si>
  <si>
    <t>EBIT / Interest Expense</t>
  </si>
  <si>
    <t>EBITDA / Interest Expense</t>
  </si>
  <si>
    <t>(EBITDA - Capex) / Interest Expense</t>
  </si>
  <si>
    <t>FFO Interest Coverage</t>
  </si>
  <si>
    <t>FFO to Total Debt (x)</t>
  </si>
  <si>
    <t>Total Debt / EBITDA</t>
  </si>
  <si>
    <t>Net Debt / EBITDA</t>
  </si>
  <si>
    <t>Net Debt / (EBITDA - Capex)</t>
  </si>
  <si>
    <t>Revenue</t>
  </si>
  <si>
    <t>In Process R&amp;D Expenses</t>
  </si>
  <si>
    <t>Legal Settlements</t>
  </si>
  <si>
    <t>Minority Interest</t>
  </si>
  <si>
    <t>Unearned Revenue Non Current</t>
  </si>
  <si>
    <t>Common Stock</t>
  </si>
  <si>
    <t>Total Minority Interest</t>
  </si>
  <si>
    <t>Construction In Progress</t>
  </si>
  <si>
    <t>Sale (Purchase) of Intangible assets</t>
  </si>
  <si>
    <t>Miscellaneous Cash Flow Adjustments</t>
  </si>
  <si>
    <t>Preferred Dividend and Other Adjustments</t>
  </si>
  <si>
    <t>Selling and Marketing Expense</t>
  </si>
  <si>
    <t>Prepaid Expenses</t>
  </si>
  <si>
    <t>Restricted Cash</t>
  </si>
  <si>
    <t>Accounts Receivable Long-Term</t>
  </si>
  <si>
    <t>Deferred Charges Long-Term</t>
  </si>
  <si>
    <t>Unearned Revenue Current</t>
  </si>
  <si>
    <t>Preferred Stock Convertible</t>
  </si>
  <si>
    <t>Preferred Stock - Others</t>
  </si>
  <si>
    <t>Total Preferred Equity</t>
  </si>
  <si>
    <t>Issuance of Preferred Stock</t>
  </si>
  <si>
    <t>Ride-hail ASP Table</t>
  </si>
  <si>
    <t xml:space="preserve"> </t>
  </si>
  <si>
    <t>Price per mile</t>
  </si>
  <si>
    <t>Total Tesla Miles</t>
  </si>
  <si>
    <t>CAPEX% of revenue</t>
  </si>
  <si>
    <t>$ Millions</t>
  </si>
  <si>
    <t>Latest fiscal year end date</t>
  </si>
  <si>
    <t>Select an operating scenario:</t>
  </si>
  <si>
    <t>Base case</t>
  </si>
  <si>
    <t>INCOME STATEMENT</t>
  </si>
  <si>
    <t xml:space="preserve">Fiscal year  </t>
  </si>
  <si>
    <t>Fiscal year end date</t>
  </si>
  <si>
    <t>Research &amp; development (enter as -)</t>
  </si>
  <si>
    <t>Selling, general &amp; administrative (enter as -)</t>
  </si>
  <si>
    <t>Operating profit (EBIT)</t>
  </si>
  <si>
    <t>Interest income</t>
  </si>
  <si>
    <t>Interest expense (enter as -)</t>
  </si>
  <si>
    <t>Other expense, net (enter as -)</t>
  </si>
  <si>
    <t>Pretax profit</t>
  </si>
  <si>
    <t>Taxes (enter expense as -)</t>
  </si>
  <si>
    <t>Net income</t>
  </si>
  <si>
    <t>Depreciation &amp; amortization</t>
  </si>
  <si>
    <t>Stock based compensation</t>
  </si>
  <si>
    <t>Adjusted EBITDA</t>
  </si>
  <si>
    <t>Revenue growth</t>
  </si>
  <si>
    <t>Gross profit margin</t>
  </si>
  <si>
    <t>R&amp;D % of sales</t>
  </si>
  <si>
    <t>SG&amp;A % of sales</t>
  </si>
  <si>
    <t>BALANCE SHEET</t>
  </si>
  <si>
    <t>Accounts receivable</t>
  </si>
  <si>
    <t>Inventories</t>
  </si>
  <si>
    <t>Other non current assets</t>
  </si>
  <si>
    <t>Total assets</t>
  </si>
  <si>
    <t>Accounts payable</t>
  </si>
  <si>
    <t>Other current liabilities</t>
  </si>
  <si>
    <t>Deferred revenue (current and non current)</t>
  </si>
  <si>
    <t>Other non current liabilities</t>
  </si>
  <si>
    <t>Total liabilities</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</si>
  <si>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</si>
  <si>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</si>
  <si>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</si>
  <si>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</si>
  <si>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</si>
  <si>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</si>
  <si>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</si>
  <si>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</si>
  <si>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</si>
  <si>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</si>
  <si>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</si>
  <si>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</si>
  <si>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</si>
  <si>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Cash from financing activities</t>
  </si>
  <si>
    <t>Net change in cash during period</t>
  </si>
  <si>
    <t>Beginning of period</t>
  </si>
  <si>
    <t>Less: Depreciation</t>
  </si>
  <si>
    <t>End of period</t>
  </si>
  <si>
    <t>as % of revenue</t>
  </si>
  <si>
    <t xml:space="preserve">Depreciation &amp; Amortization - Total </t>
  </si>
  <si>
    <t>Revolver needs analysis</t>
  </si>
  <si>
    <t>Less: Minimum cash balance</t>
  </si>
  <si>
    <t>Plus: Free cash flows generated during period</t>
  </si>
  <si>
    <t>Draw / (paydown)</t>
  </si>
  <si>
    <t>Discretionary borrowing / (paydown)</t>
  </si>
  <si>
    <t>Total interest expense (from I/S)</t>
  </si>
  <si>
    <t>Weighted average interest rate</t>
  </si>
  <si>
    <t>End of period balance (from B/S)</t>
  </si>
  <si>
    <t>Interest expense</t>
  </si>
  <si>
    <t xml:space="preserve">Interest expense </t>
  </si>
  <si>
    <t>Interest rate on cash</t>
  </si>
  <si>
    <t>Weighted average interest rate on cash</t>
  </si>
  <si>
    <t>NM</t>
  </si>
  <si>
    <t xml:space="preserve">Basic shares </t>
  </si>
  <si>
    <t>Diluted Shares</t>
  </si>
  <si>
    <t>Diluted EPS</t>
  </si>
  <si>
    <t>$ amount of shares repurchased</t>
  </si>
  <si>
    <t>$ amount of new shares issued</t>
  </si>
  <si>
    <t>Average share price</t>
  </si>
  <si>
    <t>Share price increase</t>
  </si>
  <si>
    <t>Tesla</t>
  </si>
  <si>
    <t>Company</t>
  </si>
  <si>
    <t>Shares outstanding</t>
  </si>
  <si>
    <t>COGS</t>
  </si>
  <si>
    <t>Unusual items</t>
  </si>
  <si>
    <t>Effective Tax rate</t>
  </si>
  <si>
    <t>Cash &amp; equivalents, ST &amp; LT marketable securities</t>
  </si>
  <si>
    <t xml:space="preserve">Intangibles </t>
  </si>
  <si>
    <t>Additional Paid In Capital (incl. common stock)</t>
  </si>
  <si>
    <t>Long term debt (incl. current portion)</t>
  </si>
  <si>
    <t>Capital Leases (incl. current portion)</t>
  </si>
  <si>
    <t>Net Property, Plant &amp; Equipment</t>
  </si>
  <si>
    <t>Change in non current assets</t>
  </si>
  <si>
    <t>Change in non current liabilities</t>
  </si>
  <si>
    <t>Plus: Total Capex</t>
  </si>
  <si>
    <t>Property, Plant &amp; Equipement</t>
  </si>
  <si>
    <t>D&amp;A NOT related to PP&amp;E</t>
  </si>
  <si>
    <t>Non current assets</t>
  </si>
  <si>
    <t>Less: D&amp;A</t>
  </si>
  <si>
    <t>Plus: Additions</t>
  </si>
  <si>
    <t>Cash (BOP)</t>
  </si>
  <si>
    <t>Issuance of common stock</t>
  </si>
  <si>
    <t>Cash available (needed) to pay down (draw from) revolver</t>
  </si>
  <si>
    <t>source: TIKR</t>
  </si>
  <si>
    <t>Circularity switch: 1 = off  0 = on</t>
  </si>
  <si>
    <t>Variance</t>
  </si>
  <si>
    <t>0-5 years</t>
  </si>
  <si>
    <t>6-10 years</t>
  </si>
  <si>
    <t>Bull case</t>
  </si>
  <si>
    <t>Bear case</t>
  </si>
  <si>
    <t>Automotive Revenue</t>
  </si>
  <si>
    <t>ASP vehicles</t>
  </si>
  <si>
    <t>Vehicles sold</t>
  </si>
  <si>
    <t>Automotive Gross margin</t>
  </si>
  <si>
    <t>Ride-Hail Revenue</t>
  </si>
  <si>
    <t>Energy Revenue</t>
  </si>
  <si>
    <t>ASSUMPTIONS</t>
  </si>
  <si>
    <t>Robotaxi Gross margin</t>
  </si>
  <si>
    <t>Robotaxis'</t>
  </si>
  <si>
    <t>Platform fee</t>
  </si>
  <si>
    <t>Miles per year</t>
  </si>
  <si>
    <t>Robotaxi's lifetime</t>
  </si>
  <si>
    <t>Average Price / Mile</t>
  </si>
  <si>
    <t>% of new V. as robotaxi</t>
  </si>
  <si>
    <t>N. of Operating robotaxis</t>
  </si>
  <si>
    <t>Total driven Miles</t>
  </si>
  <si>
    <t>FSD ASP</t>
  </si>
  <si>
    <r>
      <t>FSD take rate</t>
    </r>
    <r>
      <rPr>
        <b/>
        <i/>
        <sz val="11"/>
        <color rgb="FF000000"/>
        <rFont val="Calibri"/>
        <family val="2"/>
        <scheme val="minor"/>
      </rPr>
      <t xml:space="preserve"> </t>
    </r>
    <r>
      <rPr>
        <i/>
        <sz val="11"/>
        <color rgb="FF000000"/>
        <rFont val="Calibri"/>
        <family val="2"/>
        <scheme val="minor"/>
      </rPr>
      <t>(non-robotaxi)</t>
    </r>
  </si>
  <si>
    <t>FSD Revenue</t>
  </si>
  <si>
    <t>Blue cells are modifiable to get tailored outcomes</t>
  </si>
  <si>
    <t>FSD Gross margin</t>
  </si>
  <si>
    <t>ASP Storage applications</t>
  </si>
  <si>
    <t>Energy storage deployed</t>
  </si>
  <si>
    <t>Solar applications installed</t>
  </si>
  <si>
    <t>Solar ASP</t>
  </si>
  <si>
    <t>Energy as a service</t>
  </si>
  <si>
    <t>Energy Gross margin</t>
  </si>
  <si>
    <t>Energy storage Gross margin</t>
  </si>
  <si>
    <t>Solar Gross margin</t>
  </si>
  <si>
    <t>Interest expenses &amp; Interest income</t>
  </si>
  <si>
    <t>Earnings Per Share (EPS)</t>
  </si>
  <si>
    <t>Depreciation waterfall</t>
  </si>
  <si>
    <t>Existing PP&amp;E</t>
  </si>
  <si>
    <t>Gross PP&amp;E</t>
  </si>
  <si>
    <t>Accumulated depreciation</t>
  </si>
  <si>
    <t>Net PP&amp;E (excl. land)</t>
  </si>
  <si>
    <t>Average useful life</t>
  </si>
  <si>
    <t>Midyear adj.</t>
  </si>
  <si>
    <t>Total depreciation</t>
  </si>
  <si>
    <t>CAPEX</t>
  </si>
  <si>
    <t>Capex per vehicle</t>
  </si>
  <si>
    <r>
      <t xml:space="preserve">Capex </t>
    </r>
    <r>
      <rPr>
        <sz val="11"/>
        <color rgb="FF000000"/>
        <rFont val="Calibri"/>
        <family val="2"/>
        <scheme val="minor"/>
      </rPr>
      <t>Excl. Energy</t>
    </r>
    <r>
      <rPr>
        <b/>
        <sz val="11"/>
        <color rgb="FF000000"/>
        <rFont val="Calibri"/>
        <family val="2"/>
        <scheme val="minor"/>
      </rPr>
      <t xml:space="preserve"> </t>
    </r>
    <r>
      <rPr>
        <sz val="11"/>
        <color rgb="FF000000"/>
        <rFont val="Calibri"/>
        <family val="2"/>
        <scheme val="minor"/>
      </rPr>
      <t>(millions)</t>
    </r>
  </si>
  <si>
    <t>Total Capex</t>
  </si>
  <si>
    <t>Non-depreciable PP&amp;E (ex. Land)</t>
  </si>
  <si>
    <t>Override (optional)</t>
  </si>
  <si>
    <t>End of first fiscal year</t>
  </si>
  <si>
    <t>Most recent quarter end date</t>
  </si>
  <si>
    <t xml:space="preserve">Valuation date </t>
  </si>
  <si>
    <t>Midyear adjustment?</t>
  </si>
  <si>
    <t>Portion of First Year Cash Flows</t>
  </si>
  <si>
    <t>Unlevered Free Cash Flows</t>
  </si>
  <si>
    <t>Actual</t>
  </si>
  <si>
    <t>Forecasts</t>
  </si>
  <si>
    <t>Fiscal year ended</t>
  </si>
  <si>
    <t>% growth</t>
  </si>
  <si>
    <t>% margin</t>
  </si>
  <si>
    <t>EBIT</t>
  </si>
  <si>
    <t>Tax on EBIT</t>
  </si>
  <si>
    <t>Changes in net working capital</t>
  </si>
  <si>
    <t>Unlevered free cash flows (UFCF)</t>
  </si>
  <si>
    <t>Net working capital (WC Assets - WC liabilities)</t>
  </si>
  <si>
    <t>Val date</t>
  </si>
  <si>
    <t xml:space="preserve">Yr 1 - Stub </t>
  </si>
  <si>
    <t>Date for discounting cash flows</t>
  </si>
  <si>
    <t>Unlevered free cash flows (UFCF) stub adjusted</t>
  </si>
  <si>
    <t>Present value of of unlevered free cash flows</t>
  </si>
  <si>
    <t>Long term growth rate</t>
  </si>
  <si>
    <t>Terminal year EBITDA</t>
  </si>
  <si>
    <t>EBITDA multiple</t>
  </si>
  <si>
    <t>Present value of terminal value</t>
  </si>
  <si>
    <t>Total enterprise value (TEV)</t>
  </si>
  <si>
    <t>Terminal value as % of TEV</t>
  </si>
  <si>
    <t>Stage 1 cash flows as % of TEV</t>
  </si>
  <si>
    <t>Cash flows as % of TEV</t>
  </si>
  <si>
    <t>Implied TV exit EBITDA multiple</t>
  </si>
  <si>
    <t>Implied terminal growth rate</t>
  </si>
  <si>
    <t>Net debt</t>
  </si>
  <si>
    <t>Source doc</t>
  </si>
  <si>
    <t>Source date</t>
  </si>
  <si>
    <t>Gross debt and equivalents</t>
  </si>
  <si>
    <t>Debt</t>
  </si>
  <si>
    <t>Convertible debt</t>
  </si>
  <si>
    <t>Preferred stock</t>
  </si>
  <si>
    <t>Noncontrolling (minority) interests</t>
  </si>
  <si>
    <t>Nonoperating assets</t>
  </si>
  <si>
    <t xml:space="preserve">Cash </t>
  </si>
  <si>
    <t xml:space="preserve">Equity investments </t>
  </si>
  <si>
    <t>Valuation</t>
  </si>
  <si>
    <t>Perpetuity</t>
  </si>
  <si>
    <t>Enterprise value</t>
  </si>
  <si>
    <t xml:space="preserve">Equity value </t>
  </si>
  <si>
    <t>Equity value per share</t>
  </si>
  <si>
    <t>EV / Revenue</t>
  </si>
  <si>
    <t xml:space="preserve">EV / EBITDA </t>
  </si>
  <si>
    <t>EV / EBIT</t>
  </si>
  <si>
    <t>Year 1</t>
  </si>
  <si>
    <t>Exit EBITDA Multiple</t>
  </si>
  <si>
    <t>Equity value range</t>
  </si>
  <si>
    <t>Low</t>
  </si>
  <si>
    <t>Diff.</t>
  </si>
  <si>
    <t>High</t>
  </si>
  <si>
    <t>52 Week Market High/Low</t>
  </si>
  <si>
    <t>Share price</t>
  </si>
  <si>
    <t>Active case</t>
  </si>
  <si>
    <t>Terminal value - growth in perpetuity</t>
  </si>
  <si>
    <t xml:space="preserve">Terminal value - EBITDA multiple </t>
  </si>
  <si>
    <t>TV's Present value</t>
  </si>
  <si>
    <t>Present value of cash flows</t>
  </si>
  <si>
    <t>Minority Interest expenses</t>
  </si>
  <si>
    <t>Q2 2021 10Q</t>
  </si>
  <si>
    <t>Market cap</t>
  </si>
  <si>
    <t>Energy storage capex</t>
  </si>
  <si>
    <t>(LTM)</t>
  </si>
  <si>
    <t>Discount Rate</t>
  </si>
  <si>
    <t>Net income to company</t>
  </si>
  <si>
    <t>NOPAT (or EBIAT)</t>
  </si>
  <si>
    <t xml:space="preserve">TSLA value </t>
  </si>
  <si>
    <t>Price/share</t>
  </si>
  <si>
    <t>CAGR</t>
  </si>
  <si>
    <t>Assuming no change in inventory efficiency</t>
  </si>
  <si>
    <t>Long term debt (&amp; capital leases)</t>
  </si>
  <si>
    <t>Assumes no change in dilutive shares</t>
  </si>
  <si>
    <t>https://www.youtube.com/watch?v=5hPQlSLUCgo&amp;t=25s</t>
  </si>
  <si>
    <t>"valuation is about telling a story"</t>
  </si>
  <si>
    <t>Scenarios</t>
  </si>
  <si>
    <r>
      <rPr>
        <b/>
        <sz val="11"/>
        <color theme="1"/>
        <rFont val="Calibri"/>
        <family val="2"/>
        <scheme val="minor"/>
      </rPr>
      <t>DRIVERS</t>
    </r>
    <r>
      <rPr>
        <i/>
        <sz val="11"/>
        <color theme="1"/>
        <rFont val="Calibri"/>
        <family val="2"/>
        <scheme val="minor"/>
      </rPr>
      <t xml:space="preserve"> (non millions)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</si>
</sst>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5">
    <numFmt numFmtId="8" formatCode="&quot;£&quot;#,##0.00;[Red]\-&quot;£&quot;#,##0.00"/>
    <numFmt numFmtId="43" formatCode="_-* #,##0.00_-;\-* #,##0.00_-;_-* &quot;-&quot;??_-;_-@_-"/>
    <numFmt numFmtId="165" formatCode="_([$$-409]* #,##0.00_);_([$$-409]* \(#,##0.00\);_([$$-409]* &quot;-&quot;??_);_(@_)"/>
    <numFmt numFmtId="166" formatCode="0.0%"/>
    <numFmt numFmtId="167" formatCode="_-&quot;$&quot;* #,##0.00_-;\-&quot;$&quot;* #,##0.00_-;_-&quot;$&quot;* &quot;-&quot;??_-;_-@_-"/>
    <numFmt numFmtId="168" formatCode="_(* #,##0.00_);_(* \(#,##0.00\);_(* &quot;-&quot;??_);_(@_)"/>
    <numFmt numFmtId="169" formatCode="_-[$$-409]* #,##0.00_ ;_-[$$-409]* \-#,##0.00\ ;_-[$$-409]* &quot;-&quot;??_ ;_-@_ "/>
    <numFmt numFmtId="170" formatCode="_(#,##0_)_%;\(#,##0\)_%;_(&quot;–&quot;_)_%;_(@_)_%"/>
    <numFmt numFmtId="171" formatCode="&quot;$&quot;#,##0.00_);[Red]\(&quot;$&quot;#,##0.00\)"/>
    <numFmt numFmtId="172" formatCode="m/d/yy;@"/>
    <numFmt numFmtId="173" formatCode="0\A;[Red]0\A"/>
    <numFmt numFmtId="174" formatCode="0.0%_);\(0.0%\);@_)"/>
    <numFmt numFmtId="175" formatCode="_(#,##0.0%_);\(#,##0.0%\);_(&quot;–&quot;_)_%;_(@_)_%"/>
    <numFmt numFmtId="176" formatCode="&quot;$&quot;#,##0.00_);\(&quot;$&quot;#,##0.00\)"/>
    <numFmt numFmtId="177" formatCode="m/d/yyyy;@"/>
    <numFmt numFmtId="178" formatCode="0&quot;*&quot;_);\(0&quot;*&quot;\)"/>
    <numFmt numFmtId="179" formatCode="#,##0.00;\(#,##0.00\);&quot;–&quot;;@"/>
    <numFmt numFmtId="180" formatCode="_(#,##0.0_)_%;\(#,##0.0\)_%;\(#,##0.0\)_%;_(@_)_%"/>
    <numFmt numFmtId="181" formatCode="_(#,##0.0%&quot; of the revenue&quot;_);\(#,##0.0%\);_(&quot;–&quot;_)_%;_(@_)_%"/>
    <numFmt numFmtId="182" formatCode="_(#,##0.00_)_%;\(#,##0.00\)_%;_(&quot;–&quot;_)_%;_(@_)_%"/>
    <numFmt numFmtId="183" formatCode="[$$-409]#,##0"/>
    <numFmt numFmtId="184" formatCode="#,##0,,,&quot; bln&quot;"/>
    <numFmt numFmtId="185" formatCode="#,##0,,,&quot;  bln&quot;"/>
    <numFmt numFmtId="186" formatCode="0\ &quot;years&quot;"/>
    <numFmt numFmtId="187" formatCode="#,##0,,\ &quot;Gwh&quot;"/>
    <numFmt numFmtId="188" formatCode="0\ &quot; kWh&quot;"/>
    <numFmt numFmtId="189" formatCode="_(#,##0.0%&quot;  of revenue&quot;_);\(#,##0.0%\);_(&quot;–&quot;_)_%;_(@_)_%"/>
    <numFmt numFmtId="190" formatCode="0000\A"/>
    <numFmt numFmtId="191" formatCode="0000\P"/>
    <numFmt numFmtId="192" formatCode="#,##0_);\(#,##0\);@_)"/>
    <numFmt numFmtId="193" formatCode="0.0\x_);\(0.0\x\);@_)"/>
    <numFmt numFmtId="194" formatCode="0.000%_);\(0.000%\);@_)"/>
    <numFmt numFmtId="195" formatCode="#,##0.000_);\(#,##0.000\);@_)"/>
    <numFmt numFmtId="196" formatCode="#,##0.000_);\(#,##0.000\)"/>
    <numFmt numFmtId="197" formatCode="#,##0.000"/>
    <numFmt numFmtId="198" formatCode="_([$$]#,##0_)_%;\([$$]#,##0\)_%;_(&quot;–&quot;_)_%;_(@_)_%"/>
    <numFmt numFmtId="199" formatCode="&quot;$&quot;#,##0.00_);\(&quot;$&quot;#,##0.00\);@_)"/>
    <numFmt numFmtId="200" formatCode="_(0.0\x_)_';_(\(0.0\x\)_';_(&quot;–&quot;_)_%;_(@_)_%"/>
    <numFmt numFmtId="201" formatCode="_(0.0_)_'_x;_(\(0.0\)_';_(&quot;–&quot;_)_%;_(@_)_%"/>
    <numFmt numFmtId="202" formatCode="#,##0.00_);\(#,##0.00\);\-_);@_)"/>
    <numFmt numFmtId="203" formatCode="#,##0.0_);\(#,##0.0\);\-_);@_)"/>
    <numFmt numFmtId="204" formatCode="_(#,##0.00%_);\(#,##0.00%\);_(&quot;–&quot;_)_%;_(@_)_%"/>
    <numFmt numFmtId="205" formatCode="mmmm\ d\,\ yyyy;@"/>
    <numFmt numFmtId="206" formatCode="0\ &quot; Year&quot;"/>
    <numFmt numFmtId="207" formatCode="#,##0,&quot; bln&quot;"/>
  </numFmts>
  <fonts count="62">
    <font>
      <sz val="11"/>
      <color theme="1"/>
      <name val="Calibri"/>
      <family val="2"/>
      <scheme val="minor"/>
    </font>
    <font>
      <b/>
      <sz val="11"/>
      <color theme="3"/>
      <name val="Calibri"/>
      <family val="2"/>
      <scheme val="minor"/>
    </font>
    <font>
      <sz val="11"/>
      <color theme="1"/>
      <name val="Arial"/>
      <family val="2"/>
    </font>
    <font>
      <sz val="11"/>
      <color rgb="FF000000"/>
      <name val="Arial"/>
      <family val="2"/>
    </font>
    <font>
      <b/>
      <sz val="11"/>
      <color theme="1"/>
      <name val="Arial"/>
      <family val="2"/>
    </font>
    <font>
      <b/>
      <sz val="11"/>
      <color rgb="FF000000"/>
      <name val="Arial"/>
      <family val="2"/>
    </font>
    <font>
      <b/>
      <i/>
      <sz val="11"/>
      <color theme="1"/>
      <name val="Arial"/>
      <family val="2"/>
    </font>
    <font>
      <sz val="11"/>
      <color rgb="FFF44336"/>
      <name val="Arial"/>
      <family val="2"/>
    </font>
    <font>
      <b/>
      <sz val="11"/>
      <color rgb="FFF44336"/>
      <name val="Arial"/>
      <family val="2"/>
    </font>
    <font>
      <sz val="11"/>
      <color theme="1"/>
      <name val="Calibri"/>
      <family val="2"/>
      <scheme val="minor"/>
    </font>
    <font>
      <b/>
      <sz val="11"/>
      <color theme="1"/>
      <name val="Calibri"/>
      <family val="2"/>
      <scheme val="minor"/>
    </font>
    <font>
      <b/>
      <sz val="11"/>
      <color rgb="FFFFFFFF"/>
      <name val="Roboto"/>
    </font>
    <font>
      <sz val="11"/>
      <color theme="1"/>
      <name val="Roboto"/>
    </font>
    <font>
      <sz val="11"/>
      <color rgb="FF000000"/>
      <name val="Roboto"/>
    </font>
    <font>
      <b/>
      <sz val="11"/>
      <color theme="1"/>
      <name val="Roboto"/>
    </font>
    <font>
      <b/>
      <sz val="11"/>
      <color rgb="FF000000"/>
      <name val="Roboto"/>
    </font>
    <font>
      <b/>
      <i/>
      <sz val="11"/>
      <color theme="1"/>
      <name val="Roboto"/>
    </font>
    <font>
      <b/>
      <i/>
      <sz val="11"/>
      <color rgb="FF000000"/>
      <name val="Roboto"/>
    </font>
    <font>
      <sz val="11"/>
      <color rgb="FFF44336"/>
      <name val="Roboto"/>
    </font>
    <font>
      <b/>
      <i/>
      <sz val="11"/>
      <color rgb="FFF44336"/>
      <name val="Roboto"/>
    </font>
    <font>
      <b/>
      <sz val="11"/>
      <color rgb="FFF44336"/>
      <name val="Roboto"/>
    </font>
    <font>
      <i/>
      <sz val="11"/>
      <color theme="1"/>
      <name val="Roboto"/>
    </font>
    <font>
      <i/>
      <sz val="11"/>
      <color rgb="FF000000"/>
      <name val="Roboto"/>
    </font>
    <font>
      <i/>
      <sz val="11"/>
      <color rgb="FFF44336"/>
      <name val="Roboto"/>
    </font>
    <font>
      <sz val="12"/>
      <color indexed="8"/>
      <name val="Verdana"/>
      <family val="2"/>
    </font>
    <font>
      <sz val="12"/>
      <color theme="1"/>
      <name val="Calibri"/>
      <family val="2"/>
      <charset val="134"/>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sz val="11"/>
      <color rgb="FF000000"/>
      <name val="Times New Roman"/>
      <family val="1"/>
    </font>
    <font>
      <sz val="9"/>
      <color indexed="81"/>
      <name val="Tahoma"/>
      <family val="2"/>
    </font>
    <font>
      <b/>
      <sz val="9"/>
      <color indexed="81"/>
      <name val="Tahoma"/>
      <family val="2"/>
    </font>
    <font>
      <sz val="11"/>
      <color theme="0"/>
      <name val="Calibri"/>
      <family val="2"/>
      <scheme val="minor"/>
    </font>
    <font>
      <sz val="11"/>
      <color rgb="FF008000"/>
      <name val="Calibri"/>
      <family val="2"/>
      <scheme val="minor"/>
    </font>
    <font>
      <b/>
      <sz val="11"/>
      <color rgb="FF0000FF"/>
      <name val="calibri"/>
      <family val="2"/>
    </font>
    <font>
      <sz val="9"/>
      <color rgb="FF000000"/>
      <name val="Calibri"/>
      <family val="2"/>
      <scheme val="minor"/>
    </font>
    <font>
      <b/>
      <sz val="11"/>
      <color rgb="FF0000FF"/>
      <name val="Calibri"/>
      <family val="2"/>
      <scheme val="minor"/>
    </font>
    <font>
      <b/>
      <sz val="11"/>
      <color rgb="FF002060"/>
      <name val="Calibri"/>
      <family val="2"/>
      <scheme val="minor"/>
    </font>
    <font>
      <b/>
      <sz val="11"/>
      <name val="Calibri"/>
      <family val="2"/>
      <scheme val="minor"/>
    </font>
    <font>
      <sz val="11"/>
      <name val="Calibri"/>
      <family val="2"/>
      <scheme val="minor"/>
    </font>
    <font>
      <sz val="11"/>
      <color theme="0" tint="-0.249977111117893"/>
      <name val="Calibri"/>
      <family val="2"/>
      <scheme val="minor"/>
    </font>
    <font>
      <sz val="11"/>
      <color rgb="FF7030A0"/>
      <name val="Calibri"/>
      <family val="2"/>
      <scheme val="minor"/>
    </font>
    <font>
      <sz val="11"/>
      <color theme="3"/>
      <name val="Calibri"/>
      <family val="2"/>
      <scheme val="minor"/>
    </font>
    <font>
      <b/>
      <sz val="11"/>
      <color rgb="FF7030A0"/>
      <name val="Calibri"/>
      <family val="2"/>
      <scheme val="minor"/>
    </font>
    <font>
      <b/>
      <i/>
      <sz val="11"/>
      <color rgb="FF000000"/>
      <name val="Calibri"/>
      <family val="2"/>
      <scheme val="minor"/>
    </font>
    <font>
      <b/>
      <sz val="11"/>
      <color theme="7" tint="-0.499984740745262"/>
      <name val="Calibri"/>
      <family val="2"/>
      <scheme val="minor"/>
    </font>
    <font>
      <b/>
      <sz val="11"/>
      <color rgb="FF008000"/>
      <name val="Calibri"/>
      <family val="2"/>
      <scheme val="minor"/>
    </font>
    <font>
      <i/>
      <sz val="11"/>
      <name val="Calibri"/>
      <family val="2"/>
      <scheme val="minor"/>
    </font>
    <font>
      <i/>
      <sz val="9"/>
      <color rgb="FF000000"/>
      <name val="Calibri"/>
      <family val="2"/>
      <scheme val="minor"/>
    </font>
    <font>
      <sz val="10"/>
      <name val="Times New Roman"/>
      <family val="1"/>
    </font>
    <font>
      <u val="singleAccounting"/>
      <sz val="11"/>
      <color theme="1"/>
      <name val="Calibri"/>
      <family val="2"/>
      <scheme val="minor"/>
    </font>
    <font>
      <u/>
      <sz val="11"/>
      <color rgb="FF0000FF"/>
      <name val="Calibri"/>
      <family val="2"/>
      <scheme val="minor"/>
    </font>
    <font>
      <sz val="11"/>
      <color rgb="FF800080"/>
      <name val="Calibri"/>
      <family val="2"/>
      <scheme val="minor"/>
    </font>
    <font>
      <u val="singleAccounting"/>
      <sz val="11"/>
      <color rgb="FF000000"/>
      <name val="Calibri"/>
      <family val="2"/>
      <scheme val="minor"/>
    </font>
    <font>
      <b/>
      <sz val="14"/>
      <color rgb="FF0000FF"/>
      <name val="Calibri"/>
      <family val="2"/>
      <scheme val="minor"/>
    </font>
    <font>
      <sz val="11"/>
      <color rgb="FF0000FF"/>
      <name val="Tesla"/>
    </font>
    <font>
      <u/>
      <sz val="11"/>
      <color theme="10"/>
      <name val="Calibri"/>
      <family val="2"/>
      <scheme val="minor"/>
    </font>
  </fonts>
  <fills count="14">
    <fill>
      <patternFill patternType="none"/>
    </fill>
    <fill>
      <patternFill patternType="gray125"/>
    </fill>
    <fill>
      <patternFill patternType="solid">
        <fgColor rgb="FFFFFFFF"/>
        <bgColor indexed="64"/>
      </patternFill>
    </fill>
    <fill>
      <patternFill patternType="solid">
        <fgColor rgb="FF33333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9E1F2"/>
        <bgColor rgb="FF000000"/>
      </patternFill>
    </fill>
    <fill>
      <patternFill patternType="solid">
        <fgColor theme="7" tint="0.79998168889431442"/>
        <bgColor rgb="FF000000"/>
      </patternFill>
    </fill>
    <fill>
      <patternFill patternType="solid">
        <fgColor rgb="FFC9DAF8"/>
        <bgColor indexed="64"/>
      </patternFill>
    </fill>
    <fill>
      <patternFill patternType="solid">
        <fgColor rgb="FFC0C0C0"/>
        <bgColor indexed="64"/>
      </patternFill>
    </fill>
    <fill>
      <patternFill patternType="solid">
        <fgColor rgb="FFCCFFFF"/>
        <bgColor rgb="FF000000"/>
      </patternFill>
    </fill>
    <fill>
      <patternFill patternType="solid">
        <fgColor rgb="FFDDF4FF"/>
        <bgColor indexed="64"/>
      </patternFill>
    </fill>
    <fill>
      <patternFill patternType="solid">
        <fgColor theme="9" tint="0.79998168889431442"/>
        <bgColor rgb="FF000000"/>
      </patternFill>
    </fill>
    <fill>
      <patternFill patternType="solid">
        <fgColor theme="9" tint="0.79998168889431442"/>
        <bgColor indexed="64"/>
      </patternFill>
    </fill>
  </fills>
  <borders count="80">
    <border>
      <left/>
      <right/>
      <top/>
      <bottom/>
      <diagonal/>
    </border>
    <border>
      <left/>
      <right/>
      <top style="thick">
        <color rgb="FF000000"/>
      </top>
      <bottom/>
      <diagonal/>
    </border>
    <border>
      <left/>
      <right/>
      <top/>
      <bottom style="thin">
        <color indexed="64"/>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bottom style="hair">
        <color rgb="FF000000"/>
      </bottom>
      <diagonal/>
    </border>
    <border>
      <left/>
      <right/>
      <top style="hair">
        <color rgb="FF000000"/>
      </top>
      <bottom/>
      <diagonal/>
    </border>
    <border>
      <left/>
      <right/>
      <top/>
      <bottom style="medium">
        <color rgb="FF000000"/>
      </bottom>
      <diagonal/>
    </border>
    <border>
      <left style="thin">
        <color rgb="FF000000"/>
      </left>
      <right style="thin">
        <color rgb="FF000000"/>
      </right>
      <top/>
      <bottom style="thin">
        <color rgb="FF000000"/>
      </bottom>
      <diagonal/>
    </border>
    <border>
      <left/>
      <right/>
      <top style="double">
        <color rgb="FF000000"/>
      </top>
      <bottom/>
      <diagonal/>
    </border>
    <border>
      <left style="thin">
        <color rgb="FF000000"/>
      </left>
      <right/>
      <top style="thin">
        <color rgb="FF000000"/>
      </top>
      <bottom style="medium">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medium">
        <color rgb="FF000000"/>
      </left>
      <right/>
      <top/>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double">
        <color rgb="FF000000"/>
      </left>
      <right/>
      <top style="double">
        <color rgb="FF000000"/>
      </top>
      <bottom/>
      <diagonal/>
    </border>
    <border>
      <left style="double">
        <color rgb="FF000000"/>
      </left>
      <right/>
      <top/>
      <bottom style="double">
        <color rgb="FF000000"/>
      </bottom>
      <diagonal/>
    </border>
    <border>
      <left/>
      <right style="double">
        <color rgb="FF000000"/>
      </right>
      <top style="double">
        <color rgb="FF000000"/>
      </top>
      <bottom/>
      <diagonal/>
    </border>
    <border>
      <left/>
      <right style="double">
        <color rgb="FF000000"/>
      </right>
      <top/>
      <bottom style="double">
        <color rgb="FF000000"/>
      </bottom>
      <diagonal/>
    </border>
    <border>
      <left/>
      <right style="thin">
        <color rgb="FF000000"/>
      </right>
      <top/>
      <bottom style="dashed">
        <color theme="2" tint="-0.24994659260841701"/>
      </bottom>
      <diagonal/>
    </border>
    <border>
      <left/>
      <right style="thin">
        <color rgb="FF000000"/>
      </right>
      <top style="dashed">
        <color theme="2" tint="-0.24994659260841701"/>
      </top>
      <bottom style="dashed">
        <color theme="2" tint="-0.24994659260841701"/>
      </bottom>
      <diagonal/>
    </border>
    <border>
      <left style="thin">
        <color rgb="FF000000"/>
      </left>
      <right/>
      <top style="medium">
        <color rgb="FF000000"/>
      </top>
      <bottom/>
      <diagonal/>
    </border>
    <border>
      <left style="thin">
        <color rgb="FF000000"/>
      </left>
      <right/>
      <top/>
      <bottom style="medium">
        <color rgb="FF000000"/>
      </bottom>
      <diagonal/>
    </border>
    <border>
      <left style="hair">
        <color rgb="FF000000"/>
      </left>
      <right/>
      <top/>
      <bottom/>
      <diagonal/>
    </border>
    <border>
      <left/>
      <right style="hair">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hair">
        <color rgb="FF000000"/>
      </left>
      <right/>
      <top style="hair">
        <color rgb="FF000000"/>
      </top>
      <bottom/>
      <diagonal/>
    </border>
    <border>
      <left style="hair">
        <color rgb="FF000000"/>
      </left>
      <right/>
      <top/>
      <bottom style="hair">
        <color rgb="FF000000"/>
      </bottom>
      <diagonal/>
    </border>
    <border>
      <left/>
      <right style="hair">
        <color rgb="FF000000"/>
      </right>
      <top style="hair">
        <color rgb="FF000000"/>
      </top>
      <bottom/>
      <diagonal/>
    </border>
    <border>
      <left style="thin">
        <color rgb="FF000000"/>
      </left>
      <right style="hair">
        <color rgb="FF000000"/>
      </right>
      <top/>
      <bottom style="dashed">
        <color theme="2" tint="-0.24994659260841701"/>
      </bottom>
      <diagonal/>
    </border>
    <border>
      <left style="thin">
        <color rgb="FF000000"/>
      </left>
      <right style="hair">
        <color rgb="FF000000"/>
      </right>
      <top style="dashed">
        <color theme="2" tint="-0.24994659260841701"/>
      </top>
      <bottom style="dashed">
        <color theme="2" tint="-0.24994659260841701"/>
      </bottom>
      <diagonal/>
    </border>
    <border>
      <left style="thin">
        <color rgb="FF000000"/>
      </left>
      <right style="hair">
        <color rgb="FF000000"/>
      </right>
      <top style="dashed">
        <color theme="2" tint="-0.24994659260841701"/>
      </top>
      <bottom/>
      <diagonal/>
    </border>
    <border>
      <left style="thin">
        <color rgb="FF000000"/>
      </left>
      <right style="hair">
        <color rgb="FF000000"/>
      </right>
      <top style="dashed">
        <color theme="2" tint="-0.24994659260841701"/>
      </top>
      <bottom style="thin">
        <color rgb="FF000000"/>
      </bottom>
      <diagonal/>
    </border>
    <border>
      <left/>
      <right style="thin">
        <color rgb="FF000000"/>
      </right>
      <top style="thin">
        <color rgb="FF000000"/>
      </top>
      <bottom style="medium">
        <color rgb="FF000000"/>
      </bottom>
      <diagonal/>
    </border>
    <border>
      <left style="hair">
        <color rgb="FF000000"/>
      </left>
      <right style="hair">
        <color rgb="FF000000"/>
      </right>
      <top/>
      <bottom/>
      <diagonal/>
    </border>
    <border>
      <left style="thin">
        <color rgb="FF000000"/>
      </left>
      <right style="thin">
        <color rgb="FF000000"/>
      </right>
      <top style="thin">
        <color rgb="FF000000"/>
      </top>
      <bottom style="thin">
        <color rgb="FF000000"/>
      </bottom>
      <diagonal/>
    </border>
    <border>
      <left/>
      <right/>
      <top/>
      <bottom style="thin">
        <color theme="0"/>
      </bottom>
      <diagonal/>
    </border>
    <border>
      <left/>
      <right/>
      <top style="thin">
        <color theme="0"/>
      </top>
      <bottom/>
      <diagonal/>
    </border>
    <border>
      <left/>
      <right style="thin">
        <color theme="0"/>
      </right>
      <top/>
      <bottom/>
      <diagonal/>
    </border>
    <border>
      <left/>
      <right style="thin">
        <color theme="0"/>
      </right>
      <top/>
      <bottom style="thin">
        <color theme="0"/>
      </bottom>
      <diagonal/>
    </border>
    <border>
      <left style="thin">
        <color theme="0"/>
      </left>
      <right style="thin">
        <color theme="0"/>
      </right>
      <top/>
      <bottom/>
      <diagonal/>
    </border>
    <border>
      <left style="thin">
        <color rgb="FFFFFFFF"/>
      </left>
      <right/>
      <top style="thin">
        <color rgb="FFFFFFFF"/>
      </top>
      <bottom/>
      <diagonal/>
    </border>
    <border>
      <left style="hair">
        <color rgb="FF000000"/>
      </left>
      <right style="thin">
        <color rgb="FF000000"/>
      </right>
      <top/>
      <bottom style="medium">
        <color rgb="FF000000"/>
      </bottom>
      <diagonal/>
    </border>
    <border>
      <left style="thin">
        <color rgb="FF000000"/>
      </left>
      <right style="thin">
        <color rgb="FF000000"/>
      </right>
      <top/>
      <bottom style="hair">
        <color rgb="FF000000"/>
      </bottom>
      <diagonal/>
    </border>
    <border>
      <left/>
      <right/>
      <top style="thin">
        <color rgb="FF000000"/>
      </top>
      <bottom style="medium">
        <color rgb="FF000000"/>
      </bottom>
      <diagonal/>
    </border>
    <border>
      <left style="thin">
        <color rgb="FF000000"/>
      </left>
      <right style="thin">
        <color rgb="FF000000"/>
      </right>
      <top style="hair">
        <color rgb="FF000000"/>
      </top>
      <bottom/>
      <diagonal/>
    </border>
    <border>
      <left/>
      <right style="hair">
        <color rgb="FF000000"/>
      </right>
      <top/>
      <bottom style="medium">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style="hair">
        <color rgb="FF000000"/>
      </right>
      <top style="hair">
        <color rgb="FF000000"/>
      </top>
      <bottom/>
      <diagonal/>
    </border>
    <border>
      <left style="medium">
        <color rgb="FF000000"/>
      </left>
      <right style="hair">
        <color rgb="FF000000"/>
      </right>
      <top/>
      <bottom style="medium">
        <color rgb="FF000000"/>
      </bottom>
      <diagonal/>
    </border>
    <border>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right/>
      <top style="thin">
        <color rgb="FF000000"/>
      </top>
      <bottom style="thin">
        <color rgb="FF000000"/>
      </bottom>
      <diagonal/>
    </border>
    <border>
      <left style="thin">
        <color rgb="FF000000"/>
      </left>
      <right style="hair">
        <color rgb="FF000000"/>
      </right>
      <top style="thin">
        <color rgb="FF000000"/>
      </top>
      <bottom style="thin">
        <color rgb="FF000000"/>
      </bottom>
      <diagonal/>
    </border>
    <border>
      <left style="medium">
        <color rgb="FF000000"/>
      </left>
      <right/>
      <top style="hair">
        <color rgb="FF000000"/>
      </top>
      <bottom/>
      <diagonal/>
    </border>
    <border>
      <left style="hair">
        <color rgb="FF000000"/>
      </left>
      <right/>
      <top style="medium">
        <color rgb="FF000000"/>
      </top>
      <bottom/>
      <diagonal/>
    </border>
    <border>
      <left/>
      <right style="hair">
        <color rgb="FF000000"/>
      </right>
      <top style="medium">
        <color rgb="FF000000"/>
      </top>
      <bottom/>
      <diagonal/>
    </border>
    <border>
      <left/>
      <right style="medium">
        <color rgb="FF000000"/>
      </right>
      <top style="hair">
        <color rgb="FF000000"/>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s>
  <cellStyleXfs count="10">
    <xf numFmtId="0" fontId="0" fillId="0" borderId="0"/>
    <xf numFmtId="0" fontId="1" fillId="0" borderId="0" applyNumberFormat="0" applyFill="0" applyBorder="0" applyAlignment="0" applyProtection="0"/>
    <xf numFmtId="9" fontId="9" fillId="0" borderId="0" applyFont="0" applyFill="0" applyBorder="0" applyAlignment="0" applyProtection="0"/>
    <xf numFmtId="0" fontId="10" fillId="0" borderId="3" applyNumberFormat="0" applyFill="0" applyAlignment="0" applyProtection="0"/>
    <xf numFmtId="43" fontId="9" fillId="0" borderId="0" applyFont="0" applyFill="0" applyBorder="0" applyAlignment="0" applyProtection="0"/>
    <xf numFmtId="0" fontId="24" fillId="0" borderId="0" applyNumberFormat="0" applyFill="0" applyBorder="0" applyProtection="0">
      <alignment vertical="top" wrapText="1"/>
    </xf>
    <xf numFmtId="167" fontId="24" fillId="0" borderId="0" applyFont="0" applyFill="0" applyBorder="0" applyAlignment="0" applyProtection="0"/>
    <xf numFmtId="168" fontId="25" fillId="0" borderId="0" applyFont="0" applyFill="0" applyBorder="0" applyAlignment="0" applyProtection="0"/>
    <xf numFmtId="37" fontId="54" fillId="0" borderId="0"/>
    <xf numFmtId="0" fontId="61" fillId="0" borderId="0" applyNumberFormat="0" applyFill="0" applyBorder="0" applyAlignment="0" applyProtection="0"/>
  </cellStyleXfs>
  <cellXfs count="534">
    <xf numFmtId="0" fontId="0" fillId="0" borderId="0" xfId="0"/>
    <xf numFmtId="0" fontId="0" fillId="2" borderId="0" xfId="0" applyFill="1"/>
    <xf numFmtId="0" fontId="2" fillId="2" borderId="0" xfId="0" applyFont="1" applyFill="1" applyAlignment="1">
      <alignment horizontal="left" vertical="center"/>
    </xf>
    <xf numFmtId="4" fontId="3" fillId="2" borderId="0" xfId="0" applyNumberFormat="1" applyFont="1" applyFill="1" applyAlignment="1">
      <alignment horizontal="center" vertical="center"/>
    </xf>
    <xf numFmtId="0" fontId="2" fillId="2" borderId="0" xfId="0" applyFont="1" applyFill="1" applyAlignment="1">
      <alignment horizontal="center" vertical="center"/>
    </xf>
    <xf numFmtId="0" fontId="4" fillId="2" borderId="1" xfId="0" applyFont="1" applyFill="1" applyBorder="1" applyAlignment="1">
      <alignment horizontal="left" vertical="center"/>
    </xf>
    <xf numFmtId="4" fontId="5" fillId="2" borderId="1" xfId="0" applyNumberFormat="1" applyFont="1" applyFill="1" applyBorder="1" applyAlignment="1">
      <alignment horizontal="center" vertical="center"/>
    </xf>
    <xf numFmtId="0" fontId="7" fillId="2" borderId="0" xfId="0" applyFont="1" applyFill="1" applyAlignment="1">
      <alignment horizontal="center" vertical="center"/>
    </xf>
    <xf numFmtId="4" fontId="8" fillId="2" borderId="1" xfId="0" applyNumberFormat="1" applyFont="1" applyFill="1" applyBorder="1" applyAlignment="1">
      <alignment horizontal="center" vertical="center"/>
    </xf>
    <xf numFmtId="0" fontId="3" fillId="2" borderId="0" xfId="0" applyFont="1" applyFill="1" applyAlignment="1">
      <alignment horizontal="center" vertical="center"/>
    </xf>
    <xf numFmtId="0" fontId="5" fillId="2" borderId="1" xfId="0" applyFont="1" applyFill="1" applyBorder="1" applyAlignment="1">
      <alignment horizontal="center" vertical="center"/>
    </xf>
    <xf numFmtId="0" fontId="6" fillId="2" borderId="0" xfId="0" applyFont="1" applyFill="1" applyAlignment="1">
      <alignment vertical="center"/>
    </xf>
    <xf numFmtId="0" fontId="8" fillId="2" borderId="1" xfId="0" applyFont="1" applyFill="1" applyBorder="1" applyAlignment="1">
      <alignment horizontal="center" vertical="center"/>
    </xf>
    <xf numFmtId="0" fontId="0" fillId="0" borderId="0" xfId="0" applyBorder="1"/>
    <xf numFmtId="3" fontId="0" fillId="0" borderId="0" xfId="0" applyNumberFormat="1" applyBorder="1"/>
    <xf numFmtId="4" fontId="0" fillId="0" borderId="0" xfId="0" applyNumberFormat="1"/>
    <xf numFmtId="3" fontId="0" fillId="0" borderId="0" xfId="0" applyNumberFormat="1"/>
    <xf numFmtId="0" fontId="11" fillId="3" borderId="0" xfId="0" applyFont="1" applyFill="1" applyAlignment="1">
      <alignment horizontal="left" vertical="center"/>
    </xf>
    <xf numFmtId="14" fontId="11" fillId="3" borderId="0" xfId="0" applyNumberFormat="1" applyFont="1" applyFill="1" applyAlignment="1">
      <alignment horizontal="center" vertical="center"/>
    </xf>
    <xf numFmtId="0" fontId="12" fillId="2" borderId="0" xfId="0" applyFont="1" applyFill="1" applyAlignment="1">
      <alignment horizontal="left" vertical="center"/>
    </xf>
    <xf numFmtId="0" fontId="13" fillId="2" borderId="0" xfId="0" applyFont="1" applyFill="1" applyAlignment="1">
      <alignment horizontal="center" vertical="center"/>
    </xf>
    <xf numFmtId="4" fontId="13" fillId="2" borderId="0" xfId="0" applyNumberFormat="1" applyFont="1" applyFill="1" applyAlignment="1">
      <alignment horizontal="center" vertical="center"/>
    </xf>
    <xf numFmtId="0" fontId="14" fillId="2" borderId="0" xfId="0" applyFont="1" applyFill="1" applyAlignment="1">
      <alignment horizontal="left" vertical="center"/>
    </xf>
    <xf numFmtId="0" fontId="15" fillId="2" borderId="0" xfId="0" applyFont="1" applyFill="1" applyAlignment="1">
      <alignment horizontal="center" vertical="center"/>
    </xf>
    <xf numFmtId="4" fontId="15" fillId="2" borderId="0" xfId="0" applyNumberFormat="1" applyFont="1" applyFill="1" applyAlignment="1">
      <alignment horizontal="center" vertical="center"/>
    </xf>
    <xf numFmtId="0" fontId="16" fillId="2" borderId="0" xfId="0" applyFont="1" applyFill="1" applyAlignment="1">
      <alignment horizontal="left" vertical="center"/>
    </xf>
    <xf numFmtId="10" fontId="17" fillId="2" borderId="0" xfId="0" applyNumberFormat="1" applyFont="1" applyFill="1" applyAlignment="1">
      <alignment horizontal="center" vertical="center"/>
    </xf>
    <xf numFmtId="0" fontId="18" fillId="2" borderId="0" xfId="0" applyFont="1" applyFill="1" applyAlignment="1">
      <alignment horizontal="center" vertical="center"/>
    </xf>
    <xf numFmtId="4" fontId="18" fillId="2" borderId="0" xfId="0" applyNumberFormat="1" applyFont="1" applyFill="1" applyAlignment="1">
      <alignment horizontal="center" vertical="center"/>
    </xf>
    <xf numFmtId="0" fontId="14" fillId="2" borderId="1" xfId="0" applyFont="1" applyFill="1" applyBorder="1" applyAlignment="1">
      <alignment horizontal="left" vertical="center"/>
    </xf>
    <xf numFmtId="0" fontId="15" fillId="2" borderId="1" xfId="0" applyFont="1" applyFill="1" applyBorder="1" applyAlignment="1">
      <alignment horizontal="center" vertical="center"/>
    </xf>
    <xf numFmtId="4" fontId="15" fillId="2" borderId="1" xfId="0" applyNumberFormat="1" applyFont="1" applyFill="1" applyBorder="1" applyAlignment="1">
      <alignment horizontal="center" vertical="center"/>
    </xf>
    <xf numFmtId="10" fontId="19" fillId="2" borderId="0" xfId="0" applyNumberFormat="1" applyFont="1" applyFill="1" applyAlignment="1">
      <alignment horizontal="center" vertical="center"/>
    </xf>
    <xf numFmtId="0" fontId="20" fillId="2" borderId="1" xfId="0" applyFont="1" applyFill="1" applyBorder="1" applyAlignment="1">
      <alignment horizontal="center" vertical="center"/>
    </xf>
    <xf numFmtId="4" fontId="20" fillId="2" borderId="1" xfId="0" applyNumberFormat="1" applyFont="1" applyFill="1" applyBorder="1" applyAlignment="1">
      <alignment horizontal="center" vertical="center"/>
    </xf>
    <xf numFmtId="0" fontId="20" fillId="2" borderId="0" xfId="0" applyFont="1" applyFill="1" applyAlignment="1">
      <alignment horizontal="center" vertical="center"/>
    </xf>
    <xf numFmtId="4" fontId="20" fillId="2" borderId="0" xfId="0" applyNumberFormat="1" applyFont="1" applyFill="1" applyAlignment="1">
      <alignment horizontal="center" vertical="center"/>
    </xf>
    <xf numFmtId="0" fontId="12" fillId="2" borderId="0" xfId="0" applyFont="1" applyFill="1" applyAlignment="1">
      <alignment horizontal="center" vertical="center"/>
    </xf>
    <xf numFmtId="0" fontId="16" fillId="2" borderId="0" xfId="0" applyFont="1" applyFill="1" applyAlignment="1">
      <alignment vertical="center"/>
    </xf>
    <xf numFmtId="0" fontId="21" fillId="2" borderId="0" xfId="0" applyFont="1" applyFill="1" applyAlignment="1">
      <alignment horizontal="left" vertical="center"/>
    </xf>
    <xf numFmtId="10" fontId="22" fillId="2" borderId="0" xfId="0" applyNumberFormat="1" applyFont="1" applyFill="1" applyAlignment="1">
      <alignment horizontal="center" vertical="center"/>
    </xf>
    <xf numFmtId="10" fontId="23" fillId="2" borderId="0" xfId="0" applyNumberFormat="1" applyFont="1" applyFill="1" applyAlignment="1">
      <alignment horizontal="center" vertical="center"/>
    </xf>
    <xf numFmtId="10" fontId="18" fillId="2" borderId="0" xfId="0" applyNumberFormat="1" applyFont="1" applyFill="1" applyAlignment="1">
      <alignment horizontal="center" vertical="center"/>
    </xf>
    <xf numFmtId="10" fontId="13" fillId="2" borderId="0" xfId="0" applyNumberFormat="1" applyFont="1" applyFill="1" applyAlignment="1">
      <alignment horizontal="center" vertical="center"/>
    </xf>
    <xf numFmtId="0" fontId="14" fillId="2" borderId="0" xfId="0" applyFont="1" applyFill="1" applyAlignment="1">
      <alignment horizontal="center" vertical="center"/>
    </xf>
    <xf numFmtId="0" fontId="23" fillId="2" borderId="0" xfId="0" applyFont="1" applyFill="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vertical="center"/>
    </xf>
    <xf numFmtId="0" fontId="0" fillId="0" borderId="0" xfId="0"/>
    <xf numFmtId="0" fontId="0" fillId="0" borderId="0" xfId="0"/>
    <xf numFmtId="9" fontId="18" fillId="2" borderId="0" xfId="2" applyFont="1" applyFill="1" applyAlignment="1">
      <alignment horizontal="center" vertical="center"/>
    </xf>
    <xf numFmtId="0" fontId="0" fillId="0" borderId="0" xfId="0"/>
    <xf numFmtId="0" fontId="0" fillId="0" borderId="0" xfId="0"/>
    <xf numFmtId="0" fontId="0" fillId="0" borderId="4" xfId="0" applyBorder="1"/>
    <xf numFmtId="0" fontId="0" fillId="0" borderId="5" xfId="0" applyBorder="1"/>
    <xf numFmtId="0" fontId="10" fillId="0" borderId="0" xfId="0" applyFont="1"/>
    <xf numFmtId="0" fontId="10" fillId="0" borderId="6" xfId="0" applyFont="1" applyBorder="1"/>
    <xf numFmtId="0" fontId="0" fillId="0" borderId="6" xfId="0" applyBorder="1"/>
    <xf numFmtId="0" fontId="29" fillId="0" borderId="6" xfId="0" applyFont="1" applyBorder="1"/>
    <xf numFmtId="0" fontId="29" fillId="0" borderId="0" xfId="0" applyFont="1"/>
    <xf numFmtId="172" fontId="29" fillId="0" borderId="0" xfId="0" applyNumberFormat="1" applyFont="1"/>
    <xf numFmtId="9" fontId="29" fillId="0" borderId="0" xfId="0" applyNumberFormat="1" applyFont="1"/>
    <xf numFmtId="166" fontId="29" fillId="0" borderId="0" xfId="0" applyNumberFormat="1" applyFont="1"/>
    <xf numFmtId="37" fontId="27" fillId="0" borderId="0" xfId="0" applyNumberFormat="1" applyFont="1"/>
    <xf numFmtId="37" fontId="30"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10" fillId="0" borderId="0" xfId="0" applyFont="1" applyAlignment="1">
      <alignment horizontal="left"/>
    </xf>
    <xf numFmtId="174" fontId="27" fillId="0" borderId="0" xfId="0" applyNumberFormat="1" applyFont="1"/>
    <xf numFmtId="174" fontId="28" fillId="0" borderId="0" xfId="0" applyNumberFormat="1" applyFont="1"/>
    <xf numFmtId="172" fontId="29" fillId="0" borderId="6" xfId="0" applyNumberFormat="1" applyFont="1" applyBorder="1"/>
    <xf numFmtId="14" fontId="29" fillId="0" borderId="0" xfId="0" applyNumberFormat="1" applyFont="1"/>
    <xf numFmtId="173" fontId="30" fillId="0" borderId="0" xfId="0" applyNumberFormat="1" applyFont="1"/>
    <xf numFmtId="172" fontId="26" fillId="0" borderId="6" xfId="0" applyNumberFormat="1" applyFont="1" applyBorder="1"/>
    <xf numFmtId="37" fontId="10" fillId="0" borderId="0" xfId="0" applyNumberFormat="1" applyFont="1"/>
    <xf numFmtId="0" fontId="0" fillId="0" borderId="0" xfId="0" quotePrefix="1" applyAlignment="1">
      <alignment horizontal="left" indent="1"/>
    </xf>
    <xf numFmtId="0" fontId="0" fillId="0" borderId="8" xfId="0" quotePrefix="1" applyBorder="1" applyAlignment="1">
      <alignment horizontal="left" indent="1"/>
    </xf>
    <xf numFmtId="37" fontId="0" fillId="0" borderId="8" xfId="0" applyNumberFormat="1" applyBorder="1"/>
    <xf numFmtId="0" fontId="10" fillId="0" borderId="0" xfId="0" applyFont="1" applyAlignment="1">
      <alignment horizontal="left" indent="1"/>
    </xf>
    <xf numFmtId="170" fontId="0" fillId="0" borderId="0" xfId="0" applyNumberFormat="1"/>
    <xf numFmtId="0" fontId="10" fillId="0" borderId="6" xfId="0" applyFont="1" applyBorder="1" applyAlignment="1">
      <alignment horizontal="left"/>
    </xf>
    <xf numFmtId="174" fontId="0" fillId="0" borderId="6" xfId="0" applyNumberFormat="1" applyBorder="1"/>
    <xf numFmtId="174" fontId="27" fillId="0" borderId="6" xfId="0" applyNumberFormat="1" applyFont="1" applyBorder="1"/>
    <xf numFmtId="175" fontId="0" fillId="0" borderId="0" xfId="0" applyNumberFormat="1"/>
    <xf numFmtId="37" fontId="10" fillId="0" borderId="6" xfId="0" applyNumberFormat="1" applyFont="1" applyBorder="1"/>
    <xf numFmtId="0" fontId="0" fillId="0" borderId="8" xfId="0" applyBorder="1" applyAlignment="1">
      <alignment horizontal="left" indent="1"/>
    </xf>
    <xf numFmtId="0" fontId="0" fillId="0" borderId="8" xfId="0" applyBorder="1"/>
    <xf numFmtId="0" fontId="32" fillId="0" borderId="0" xfId="0" applyFont="1" applyAlignment="1">
      <alignment horizontal="center"/>
    </xf>
    <xf numFmtId="37" fontId="33" fillId="0" borderId="0" xfId="0" applyNumberFormat="1" applyFont="1" applyAlignment="1">
      <alignment horizontal="right"/>
    </xf>
    <xf numFmtId="9" fontId="28" fillId="0" borderId="6" xfId="0" applyNumberFormat="1" applyFont="1" applyBorder="1"/>
    <xf numFmtId="3" fontId="34" fillId="0" borderId="0" xfId="0" applyNumberFormat="1" applyFont="1"/>
    <xf numFmtId="37" fontId="0" fillId="0" borderId="7" xfId="0" applyNumberFormat="1" applyBorder="1"/>
    <xf numFmtId="0" fontId="31" fillId="0" borderId="0" xfId="0" applyFont="1" applyAlignment="1">
      <alignment horizontal="left" indent="1"/>
    </xf>
    <xf numFmtId="0" fontId="30" fillId="0" borderId="9" xfId="0" applyFont="1" applyBorder="1" applyAlignment="1">
      <alignment horizontal="left" indent="1"/>
    </xf>
    <xf numFmtId="0" fontId="0" fillId="0" borderId="0" xfId="0" applyAlignment="1">
      <alignment horizontal="left" indent="2"/>
    </xf>
    <xf numFmtId="0" fontId="0" fillId="0" borderId="10" xfId="0" applyBorder="1"/>
    <xf numFmtId="175" fontId="26" fillId="0" borderId="0" xfId="0" applyNumberFormat="1" applyFont="1"/>
    <xf numFmtId="171" fontId="0" fillId="0" borderId="0" xfId="0" applyNumberFormat="1"/>
    <xf numFmtId="14" fontId="26" fillId="0" borderId="5" xfId="0" applyNumberFormat="1" applyFont="1" applyFill="1" applyBorder="1" applyAlignment="1">
      <alignment horizontal="left"/>
    </xf>
    <xf numFmtId="0" fontId="10" fillId="0" borderId="5" xfId="0" applyFont="1" applyBorder="1"/>
    <xf numFmtId="0" fontId="27" fillId="0" borderId="5" xfId="0" applyNumberFormat="1" applyFont="1" applyFill="1" applyBorder="1" applyAlignment="1"/>
    <xf numFmtId="0" fontId="27" fillId="0" borderId="0" xfId="0" applyNumberFormat="1" applyFont="1" applyFill="1" applyBorder="1" applyAlignment="1"/>
    <xf numFmtId="0" fontId="28" fillId="0" borderId="0" xfId="0" applyNumberFormat="1" applyFont="1" applyFill="1" applyBorder="1" applyAlignment="1"/>
    <xf numFmtId="0" fontId="37" fillId="0" borderId="0" xfId="0" applyNumberFormat="1" applyFont="1" applyFill="1" applyBorder="1" applyAlignment="1"/>
    <xf numFmtId="170" fontId="27" fillId="0" borderId="0" xfId="0" applyNumberFormat="1" applyFont="1"/>
    <xf numFmtId="170" fontId="30" fillId="0" borderId="0" xfId="0" applyNumberFormat="1" applyFont="1"/>
    <xf numFmtId="170" fontId="38" fillId="0" borderId="0" xfId="0" applyNumberFormat="1" applyFont="1"/>
    <xf numFmtId="0" fontId="0" fillId="0" borderId="0" xfId="0"/>
    <xf numFmtId="172" fontId="26" fillId="0" borderId="0" xfId="0" applyNumberFormat="1" applyFont="1" applyBorder="1"/>
    <xf numFmtId="0" fontId="30" fillId="0" borderId="0" xfId="0" applyNumberFormat="1" applyFont="1"/>
    <xf numFmtId="178" fontId="30" fillId="0" borderId="0" xfId="0" applyNumberFormat="1" applyFont="1"/>
    <xf numFmtId="170" fontId="38" fillId="0" borderId="7" xfId="0" applyNumberFormat="1" applyFont="1" applyFill="1" applyBorder="1" applyAlignment="1"/>
    <xf numFmtId="170" fontId="27" fillId="0" borderId="7" xfId="0" applyNumberFormat="1" applyFont="1" applyFill="1" applyBorder="1" applyAlignment="1"/>
    <xf numFmtId="170" fontId="38" fillId="0" borderId="0" xfId="0" applyNumberFormat="1" applyFont="1" applyFill="1" applyBorder="1" applyAlignment="1"/>
    <xf numFmtId="170" fontId="27" fillId="0" borderId="0" xfId="0" applyNumberFormat="1" applyFont="1" applyFill="1" applyBorder="1" applyAlignment="1"/>
    <xf numFmtId="180" fontId="26" fillId="0" borderId="0" xfId="0" applyNumberFormat="1" applyFont="1"/>
    <xf numFmtId="172" fontId="26" fillId="0" borderId="2" xfId="0" applyNumberFormat="1" applyFont="1" applyBorder="1"/>
    <xf numFmtId="175" fontId="27" fillId="0" borderId="0" xfId="0" applyNumberFormat="1" applyFont="1"/>
    <xf numFmtId="170" fontId="27" fillId="0" borderId="8" xfId="0" applyNumberFormat="1" applyFont="1" applyBorder="1"/>
    <xf numFmtId="170" fontId="30" fillId="0" borderId="9" xfId="0" applyNumberFormat="1" applyFont="1" applyBorder="1"/>
    <xf numFmtId="174" fontId="27" fillId="0" borderId="9" xfId="0" applyNumberFormat="1" applyFont="1" applyBorder="1"/>
    <xf numFmtId="0" fontId="0" fillId="0" borderId="7" xfId="0" applyBorder="1"/>
    <xf numFmtId="170" fontId="27" fillId="0" borderId="7" xfId="0" applyNumberFormat="1" applyFont="1" applyBorder="1"/>
    <xf numFmtId="170" fontId="0" fillId="0" borderId="8" xfId="0" applyNumberFormat="1" applyBorder="1"/>
    <xf numFmtId="0" fontId="0" fillId="0" borderId="0" xfId="0" applyBorder="1" applyAlignment="1">
      <alignment horizontal="left" indent="2"/>
    </xf>
    <xf numFmtId="0" fontId="0" fillId="0" borderId="0" xfId="0" applyFont="1"/>
    <xf numFmtId="0" fontId="0" fillId="0" borderId="0" xfId="0" applyFill="1"/>
    <xf numFmtId="170" fontId="38" fillId="0" borderId="0" xfId="0" applyNumberFormat="1" applyFont="1" applyFill="1"/>
    <xf numFmtId="170" fontId="27" fillId="0" borderId="0" xfId="0" applyNumberFormat="1" applyFont="1" applyFill="1"/>
    <xf numFmtId="0" fontId="10" fillId="0" borderId="0" xfId="0" applyFont="1" applyFill="1" applyAlignment="1">
      <alignment horizontal="left"/>
    </xf>
    <xf numFmtId="170" fontId="30" fillId="0" borderId="0" xfId="0" applyNumberFormat="1" applyFont="1" applyFill="1"/>
    <xf numFmtId="0" fontId="0" fillId="0" borderId="0" xfId="0" applyFill="1" applyAlignment="1">
      <alignment horizontal="left"/>
    </xf>
    <xf numFmtId="170" fontId="0" fillId="0" borderId="0" xfId="0" applyNumberFormat="1" applyFill="1"/>
    <xf numFmtId="170" fontId="28" fillId="0" borderId="0" xfId="0" applyNumberFormat="1" applyFont="1" applyFill="1"/>
    <xf numFmtId="170" fontId="27" fillId="0" borderId="0" xfId="0" applyNumberFormat="1" applyFont="1" applyBorder="1"/>
    <xf numFmtId="0" fontId="0" fillId="0" borderId="0" xfId="0"/>
    <xf numFmtId="170" fontId="40" fillId="0" borderId="0" xfId="0" applyNumberFormat="1" applyFont="1" applyFill="1" applyBorder="1" applyAlignment="1"/>
    <xf numFmtId="170" fontId="28" fillId="0" borderId="8" xfId="0" applyNumberFormat="1" applyFont="1" applyFill="1" applyBorder="1" applyAlignment="1"/>
    <xf numFmtId="170" fontId="30" fillId="0" borderId="8" xfId="0" applyNumberFormat="1" applyFont="1" applyBorder="1"/>
    <xf numFmtId="175" fontId="27" fillId="0" borderId="0" xfId="0" applyNumberFormat="1" applyFont="1" applyFill="1" applyBorder="1" applyAlignment="1"/>
    <xf numFmtId="175" fontId="26" fillId="0" borderId="0" xfId="0" applyNumberFormat="1" applyFont="1" applyBorder="1"/>
    <xf numFmtId="174" fontId="27" fillId="0" borderId="0" xfId="0" applyNumberFormat="1" applyFont="1" applyBorder="1"/>
    <xf numFmtId="0" fontId="30" fillId="0" borderId="0" xfId="0" applyNumberFormat="1" applyFont="1" applyFill="1" applyBorder="1" applyAlignment="1">
      <alignment horizontal="left" indent="1"/>
    </xf>
    <xf numFmtId="174" fontId="28" fillId="0" borderId="0" xfId="0" applyNumberFormat="1" applyFont="1" applyFill="1" applyBorder="1" applyAlignment="1"/>
    <xf numFmtId="0" fontId="0" fillId="0" borderId="16" xfId="0" applyBorder="1"/>
    <xf numFmtId="174" fontId="28" fillId="5" borderId="0" xfId="0" applyNumberFormat="1" applyFont="1" applyFill="1" applyBorder="1"/>
    <xf numFmtId="174" fontId="28" fillId="5" borderId="15" xfId="0" applyNumberFormat="1" applyFont="1" applyFill="1" applyBorder="1"/>
    <xf numFmtId="174" fontId="28" fillId="5" borderId="16" xfId="0" applyNumberFormat="1"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0" xfId="0" applyFont="1" applyBorder="1"/>
    <xf numFmtId="0" fontId="0" fillId="0" borderId="0" xfId="0"/>
    <xf numFmtId="170" fontId="28" fillId="0" borderId="0" xfId="0" applyNumberFormat="1" applyFont="1"/>
    <xf numFmtId="182" fontId="27" fillId="0" borderId="0" xfId="0" applyNumberFormat="1" applyFont="1"/>
    <xf numFmtId="3" fontId="27" fillId="0" borderId="0" xfId="0" applyNumberFormat="1" applyFont="1" applyFill="1" applyBorder="1" applyAlignment="1"/>
    <xf numFmtId="0" fontId="27" fillId="0" borderId="8" xfId="0" applyNumberFormat="1" applyFont="1" applyFill="1" applyBorder="1" applyAlignment="1"/>
    <xf numFmtId="37" fontId="27" fillId="0" borderId="0" xfId="0" applyNumberFormat="1" applyFont="1" applyBorder="1"/>
    <xf numFmtId="174" fontId="0" fillId="0" borderId="0" xfId="0" applyNumberFormat="1" applyBorder="1"/>
    <xf numFmtId="175" fontId="27" fillId="0" borderId="0" xfId="0" applyNumberFormat="1" applyFont="1" applyBorder="1"/>
    <xf numFmtId="0" fontId="44" fillId="0" borderId="0" xfId="0" applyFont="1" applyBorder="1"/>
    <xf numFmtId="0" fontId="44" fillId="0" borderId="0" xfId="0" applyFont="1"/>
    <xf numFmtId="178" fontId="30" fillId="0" borderId="0" xfId="0" applyNumberFormat="1" applyFont="1" applyBorder="1"/>
    <xf numFmtId="0" fontId="10" fillId="0" borderId="0" xfId="0" applyFont="1" applyBorder="1" applyAlignment="1">
      <alignment horizontal="left" indent="1"/>
    </xf>
    <xf numFmtId="3" fontId="28" fillId="6" borderId="0" xfId="0" applyNumberFormat="1" applyFont="1" applyFill="1" applyBorder="1" applyAlignment="1"/>
    <xf numFmtId="170" fontId="28" fillId="6" borderId="0" xfId="0" applyNumberFormat="1" applyFont="1" applyFill="1" applyBorder="1" applyAlignment="1"/>
    <xf numFmtId="182" fontId="28" fillId="6" borderId="0" xfId="0" applyNumberFormat="1" applyFont="1" applyFill="1" applyBorder="1" applyAlignment="1"/>
    <xf numFmtId="0" fontId="27" fillId="0" borderId="10" xfId="0" applyNumberFormat="1" applyFont="1" applyFill="1" applyBorder="1" applyAlignment="1"/>
    <xf numFmtId="175" fontId="0" fillId="0" borderId="0" xfId="0" applyNumberFormat="1" applyBorder="1"/>
    <xf numFmtId="0" fontId="0" fillId="0" borderId="0" xfId="0" applyBorder="1" applyAlignment="1">
      <alignment horizontal="center"/>
    </xf>
    <xf numFmtId="175" fontId="28" fillId="6" borderId="0" xfId="0" applyNumberFormat="1" applyFont="1" applyFill="1" applyBorder="1" applyAlignment="1"/>
    <xf numFmtId="0" fontId="46" fillId="0" borderId="0" xfId="0" applyFont="1"/>
    <xf numFmtId="0" fontId="48" fillId="0" borderId="0" xfId="1" applyFont="1" applyBorder="1"/>
    <xf numFmtId="3" fontId="46" fillId="0" borderId="0" xfId="0" applyNumberFormat="1" applyFont="1"/>
    <xf numFmtId="0" fontId="0" fillId="0" borderId="12" xfId="0" applyBorder="1"/>
    <xf numFmtId="0" fontId="48" fillId="0" borderId="0" xfId="0" applyFont="1"/>
    <xf numFmtId="166" fontId="44" fillId="0" borderId="0" xfId="2" applyNumberFormat="1" applyFont="1" applyBorder="1"/>
    <xf numFmtId="185" fontId="44" fillId="0" borderId="0" xfId="0" applyNumberFormat="1" applyFont="1" applyFill="1" applyBorder="1" applyAlignment="1"/>
    <xf numFmtId="175" fontId="28" fillId="0" borderId="0" xfId="2" applyNumberFormat="1" applyFont="1" applyBorder="1"/>
    <xf numFmtId="175" fontId="27" fillId="0" borderId="0" xfId="2" applyNumberFormat="1" applyFont="1" applyBorder="1"/>
    <xf numFmtId="0" fontId="45" fillId="0" borderId="0" xfId="1" applyFont="1" applyFill="1" applyBorder="1"/>
    <xf numFmtId="3" fontId="45" fillId="0" borderId="0" xfId="0" applyNumberFormat="1" applyFont="1" applyFill="1"/>
    <xf numFmtId="3" fontId="46" fillId="0" borderId="0" xfId="3" applyNumberFormat="1" applyFont="1" applyFill="1" applyBorder="1"/>
    <xf numFmtId="0" fontId="45" fillId="0" borderId="0" xfId="0" applyFont="1" applyFill="1"/>
    <xf numFmtId="0" fontId="0" fillId="0" borderId="0" xfId="0" applyFill="1" applyBorder="1" applyAlignment="1">
      <alignment horizontal="left" indent="2"/>
    </xf>
    <xf numFmtId="3" fontId="27" fillId="0" borderId="0" xfId="3" applyNumberFormat="1" applyFont="1" applyFill="1" applyBorder="1"/>
    <xf numFmtId="0" fontId="0" fillId="0" borderId="0" xfId="0" applyFill="1" applyAlignment="1">
      <alignment horizontal="left" indent="2"/>
    </xf>
    <xf numFmtId="183" fontId="47" fillId="0" borderId="0" xfId="1" applyNumberFormat="1" applyFont="1" applyFill="1" applyBorder="1"/>
    <xf numFmtId="0" fontId="0" fillId="0" borderId="0" xfId="0" applyFont="1" applyFill="1"/>
    <xf numFmtId="182" fontId="0" fillId="0" borderId="0" xfId="0" applyNumberFormat="1" applyFont="1"/>
    <xf numFmtId="0" fontId="48" fillId="0" borderId="0" xfId="1" applyFont="1" applyFill="1" applyBorder="1"/>
    <xf numFmtId="3" fontId="46" fillId="0" borderId="0" xfId="0" applyNumberFormat="1" applyFont="1" applyFill="1"/>
    <xf numFmtId="0" fontId="46" fillId="0" borderId="0" xfId="0" applyFont="1" applyFill="1"/>
    <xf numFmtId="3" fontId="46" fillId="0" borderId="0" xfId="0" applyNumberFormat="1" applyFont="1" applyBorder="1"/>
    <xf numFmtId="0" fontId="46" fillId="0" borderId="0" xfId="0" applyFont="1" applyBorder="1"/>
    <xf numFmtId="0" fontId="0" fillId="0" borderId="8" xfId="0" applyBorder="1" applyAlignment="1">
      <alignment horizontal="left" indent="2"/>
    </xf>
    <xf numFmtId="170" fontId="27" fillId="0" borderId="8" xfId="0" applyNumberFormat="1" applyFont="1" applyFill="1" applyBorder="1" applyAlignment="1"/>
    <xf numFmtId="3" fontId="28" fillId="6" borderId="8" xfId="0" applyNumberFormat="1" applyFont="1" applyFill="1" applyBorder="1" applyAlignment="1"/>
    <xf numFmtId="0" fontId="27" fillId="0" borderId="8" xfId="0" applyNumberFormat="1" applyFont="1" applyFill="1" applyBorder="1" applyAlignment="1">
      <alignment horizontal="left" indent="2"/>
    </xf>
    <xf numFmtId="0" fontId="44" fillId="0" borderId="0" xfId="0" applyNumberFormat="1" applyFont="1" applyFill="1" applyBorder="1" applyAlignment="1"/>
    <xf numFmtId="3" fontId="44" fillId="0" borderId="0" xfId="0" applyNumberFormat="1" applyFont="1" applyFill="1" applyBorder="1" applyAlignment="1"/>
    <xf numFmtId="170" fontId="44" fillId="0" borderId="0" xfId="0" applyNumberFormat="1" applyFont="1"/>
    <xf numFmtId="170" fontId="0" fillId="0" borderId="0" xfId="0" applyNumberFormat="1" applyBorder="1"/>
    <xf numFmtId="182" fontId="0" fillId="0" borderId="8" xfId="0" applyNumberFormat="1" applyFont="1" applyBorder="1"/>
    <xf numFmtId="182" fontId="28" fillId="6" borderId="8" xfId="0" applyNumberFormat="1" applyFont="1" applyFill="1" applyBorder="1" applyAlignment="1"/>
    <xf numFmtId="182" fontId="27" fillId="0" borderId="8" xfId="0" applyNumberFormat="1" applyFont="1" applyBorder="1"/>
    <xf numFmtId="175" fontId="27" fillId="0" borderId="0" xfId="2" applyNumberFormat="1" applyFont="1"/>
    <xf numFmtId="3" fontId="27" fillId="0" borderId="0" xfId="3" applyNumberFormat="1" applyFont="1" applyFill="1" applyBorder="1" applyAlignment="1"/>
    <xf numFmtId="175" fontId="46" fillId="0" borderId="0" xfId="0" applyNumberFormat="1" applyFont="1" applyFill="1" applyBorder="1" applyAlignment="1"/>
    <xf numFmtId="175" fontId="27" fillId="0" borderId="0" xfId="2" applyNumberFormat="1" applyFont="1" applyFill="1" applyBorder="1" applyAlignment="1"/>
    <xf numFmtId="175" fontId="28" fillId="0" borderId="0" xfId="2" applyNumberFormat="1" applyFont="1"/>
    <xf numFmtId="0" fontId="27" fillId="0" borderId="22" xfId="0" applyNumberFormat="1" applyFont="1" applyFill="1" applyBorder="1" applyAlignment="1"/>
    <xf numFmtId="174" fontId="28" fillId="5" borderId="19" xfId="0" applyNumberFormat="1" applyFont="1" applyFill="1" applyBorder="1" applyAlignment="1">
      <alignment wrapText="1"/>
    </xf>
    <xf numFmtId="186" fontId="0" fillId="0" borderId="0" xfId="0" applyNumberFormat="1"/>
    <xf numFmtId="0" fontId="0" fillId="0" borderId="15" xfId="0" applyFont="1" applyBorder="1" applyAlignment="1">
      <alignment horizontal="center"/>
    </xf>
    <xf numFmtId="0" fontId="0" fillId="0" borderId="15" xfId="0" applyFont="1" applyBorder="1"/>
    <xf numFmtId="175" fontId="27" fillId="0" borderId="5" xfId="0" applyNumberFormat="1" applyFont="1" applyFill="1" applyBorder="1" applyAlignment="1"/>
    <xf numFmtId="175" fontId="27" fillId="0" borderId="10" xfId="0" applyNumberFormat="1" applyFont="1" applyFill="1" applyBorder="1" applyAlignment="1"/>
    <xf numFmtId="0" fontId="10" fillId="0" borderId="24" xfId="0" applyFont="1" applyBorder="1"/>
    <xf numFmtId="0" fontId="10" fillId="0" borderId="23" xfId="0" applyFont="1" applyBorder="1"/>
    <xf numFmtId="0" fontId="10" fillId="0" borderId="25" xfId="0" applyFont="1" applyBorder="1"/>
    <xf numFmtId="175" fontId="0" fillId="0" borderId="0" xfId="0" applyNumberFormat="1" applyBorder="1" applyAlignment="1"/>
    <xf numFmtId="187" fontId="0" fillId="0" borderId="0" xfId="0" applyNumberFormat="1"/>
    <xf numFmtId="0" fontId="50" fillId="0" borderId="0" xfId="0" applyNumberFormat="1" applyFont="1" applyFill="1" applyBorder="1" applyAlignment="1">
      <alignment horizontal="left" indent="1"/>
    </xf>
    <xf numFmtId="188" fontId="0" fillId="0" borderId="0" xfId="0" applyNumberFormat="1"/>
    <xf numFmtId="188" fontId="0" fillId="0" borderId="0" xfId="0" applyNumberFormat="1" applyBorder="1"/>
    <xf numFmtId="187" fontId="28" fillId="5" borderId="0" xfId="0" applyNumberFormat="1" applyFont="1" applyFill="1"/>
    <xf numFmtId="187" fontId="27" fillId="0" borderId="0" xfId="0" applyNumberFormat="1" applyFont="1" applyFill="1" applyBorder="1" applyAlignment="1"/>
    <xf numFmtId="188" fontId="28" fillId="5" borderId="0" xfId="0" applyNumberFormat="1" applyFont="1" applyFill="1" applyBorder="1" applyAlignment="1"/>
    <xf numFmtId="0" fontId="50" fillId="0" borderId="9" xfId="0" applyNumberFormat="1" applyFont="1" applyFill="1" applyBorder="1" applyAlignment="1">
      <alignment horizontal="left" indent="1"/>
    </xf>
    <xf numFmtId="0" fontId="0" fillId="0" borderId="9" xfId="0" applyBorder="1"/>
    <xf numFmtId="3" fontId="0" fillId="0" borderId="9" xfId="0" applyNumberFormat="1" applyBorder="1"/>
    <xf numFmtId="174" fontId="28" fillId="6" borderId="0" xfId="0" applyNumberFormat="1" applyFont="1" applyFill="1" applyBorder="1" applyAlignment="1"/>
    <xf numFmtId="170" fontId="29" fillId="0" borderId="0" xfId="0" applyNumberFormat="1" applyFont="1"/>
    <xf numFmtId="0" fontId="30" fillId="7" borderId="0" xfId="0" applyNumberFormat="1" applyFont="1" applyFill="1" applyBorder="1" applyAlignment="1"/>
    <xf numFmtId="0" fontId="42" fillId="7" borderId="0" xfId="0" applyNumberFormat="1" applyFont="1" applyFill="1" applyBorder="1" applyAlignment="1"/>
    <xf numFmtId="0" fontId="0" fillId="4" borderId="0" xfId="0" applyFill="1" applyBorder="1" applyAlignment="1">
      <alignment horizontal="left" indent="1"/>
    </xf>
    <xf numFmtId="174" fontId="27" fillId="4" borderId="0" xfId="0" applyNumberFormat="1" applyFont="1" applyFill="1" applyBorder="1"/>
    <xf numFmtId="174" fontId="27" fillId="7" borderId="0" xfId="0" applyNumberFormat="1" applyFont="1" applyFill="1" applyBorder="1" applyAlignment="1"/>
    <xf numFmtId="174" fontId="28" fillId="4" borderId="0" xfId="0" applyNumberFormat="1" applyFont="1" applyFill="1" applyBorder="1"/>
    <xf numFmtId="181" fontId="39" fillId="5" borderId="0" xfId="0" applyNumberFormat="1" applyFont="1" applyFill="1" applyAlignment="1">
      <alignment horizontal="left"/>
    </xf>
    <xf numFmtId="174" fontId="28" fillId="0" borderId="0" xfId="0" applyNumberFormat="1" applyFont="1" applyFill="1"/>
    <xf numFmtId="174" fontId="27" fillId="0" borderId="0" xfId="0" applyNumberFormat="1" applyFont="1" applyFill="1"/>
    <xf numFmtId="37" fontId="28" fillId="0" borderId="0" xfId="0" applyNumberFormat="1" applyFont="1" applyFill="1"/>
    <xf numFmtId="176" fontId="30" fillId="0" borderId="0" xfId="0" applyNumberFormat="1" applyFont="1" applyFill="1"/>
    <xf numFmtId="37" fontId="0" fillId="0" borderId="0" xfId="0" applyNumberFormat="1" applyFill="1"/>
    <xf numFmtId="176" fontId="51" fillId="0" borderId="0" xfId="0" applyNumberFormat="1" applyFont="1" applyFill="1"/>
    <xf numFmtId="0" fontId="0" fillId="0" borderId="0" xfId="0"/>
    <xf numFmtId="175" fontId="27" fillId="0" borderId="0" xfId="0" applyNumberFormat="1" applyFont="1" applyBorder="1" applyAlignment="1">
      <alignment horizontal="center"/>
    </xf>
    <xf numFmtId="0" fontId="0" fillId="0" borderId="0" xfId="0"/>
    <xf numFmtId="174" fontId="0" fillId="0" borderId="8" xfId="0" applyNumberFormat="1" applyBorder="1"/>
    <xf numFmtId="0" fontId="30" fillId="0" borderId="6" xfId="0" applyNumberFormat="1" applyFont="1" applyBorder="1"/>
    <xf numFmtId="178" fontId="30" fillId="0" borderId="6" xfId="0" applyNumberFormat="1" applyFont="1" applyBorder="1"/>
    <xf numFmtId="178" fontId="10" fillId="0" borderId="6" xfId="0" applyNumberFormat="1" applyFont="1" applyBorder="1"/>
    <xf numFmtId="178" fontId="10" fillId="0" borderId="0" xfId="0" applyNumberFormat="1" applyFont="1" applyBorder="1"/>
    <xf numFmtId="0" fontId="0" fillId="0" borderId="10" xfId="0" applyBorder="1" applyAlignment="1">
      <alignment horizontal="left" indent="1"/>
    </xf>
    <xf numFmtId="189" fontId="28" fillId="6" borderId="0" xfId="0" applyNumberFormat="1" applyFont="1" applyFill="1" applyBorder="1" applyAlignment="1"/>
    <xf numFmtId="170" fontId="44" fillId="0" borderId="0" xfId="0" applyNumberFormat="1" applyFont="1" applyFill="1"/>
    <xf numFmtId="0" fontId="0" fillId="0" borderId="40" xfId="0" applyFont="1" applyBorder="1" applyAlignment="1">
      <alignment horizontal="right"/>
    </xf>
    <xf numFmtId="0" fontId="28" fillId="8" borderId="11" xfId="0" applyFont="1" applyFill="1" applyBorder="1" applyAlignment="1">
      <alignment horizontal="center"/>
    </xf>
    <xf numFmtId="170" fontId="27" fillId="0" borderId="0" xfId="0" applyNumberFormat="1" applyFont="1" applyFill="1" applyBorder="1"/>
    <xf numFmtId="170" fontId="0" fillId="0" borderId="0" xfId="0" applyNumberFormat="1" applyFill="1" applyBorder="1"/>
    <xf numFmtId="170" fontId="27" fillId="0" borderId="7" xfId="0" applyNumberFormat="1" applyFont="1" applyFill="1" applyBorder="1"/>
    <xf numFmtId="170" fontId="27" fillId="0" borderId="14" xfId="0" applyNumberFormat="1" applyFont="1" applyFill="1" applyBorder="1"/>
    <xf numFmtId="170" fontId="27" fillId="0" borderId="22" xfId="0" applyNumberFormat="1" applyFont="1" applyFill="1" applyBorder="1"/>
    <xf numFmtId="170" fontId="0" fillId="0" borderId="22" xfId="0" applyNumberFormat="1" applyFill="1" applyBorder="1"/>
    <xf numFmtId="170" fontId="10" fillId="0" borderId="39" xfId="0" applyNumberFormat="1" applyFont="1" applyFill="1" applyBorder="1"/>
    <xf numFmtId="170" fontId="10" fillId="0" borderId="6" xfId="0" applyNumberFormat="1" applyFont="1" applyFill="1" applyBorder="1"/>
    <xf numFmtId="170" fontId="27" fillId="0" borderId="18" xfId="0" applyNumberFormat="1" applyFont="1" applyFill="1" applyBorder="1"/>
    <xf numFmtId="170" fontId="27" fillId="0" borderId="16" xfId="0" applyNumberFormat="1" applyFont="1" applyFill="1" applyBorder="1"/>
    <xf numFmtId="170" fontId="10" fillId="0" borderId="17" xfId="0" applyNumberFormat="1" applyFont="1" applyFill="1" applyBorder="1"/>
    <xf numFmtId="0" fontId="0" fillId="0" borderId="0" xfId="0" quotePrefix="1" applyBorder="1" applyAlignment="1">
      <alignment horizontal="left" indent="1"/>
    </xf>
    <xf numFmtId="170" fontId="38" fillId="0" borderId="0" xfId="0" applyNumberFormat="1" applyFont="1" applyBorder="1"/>
    <xf numFmtId="170" fontId="30" fillId="0" borderId="0" xfId="0" applyNumberFormat="1" applyFont="1" applyBorder="1"/>
    <xf numFmtId="0" fontId="0" fillId="0" borderId="0" xfId="0" applyBorder="1" applyAlignment="1">
      <alignment horizontal="left"/>
    </xf>
    <xf numFmtId="39" fontId="27" fillId="0" borderId="0" xfId="0" applyNumberFormat="1" applyFont="1" applyBorder="1"/>
    <xf numFmtId="39" fontId="28" fillId="8" borderId="0" xfId="0" applyNumberFormat="1" applyFont="1" applyFill="1" applyBorder="1"/>
    <xf numFmtId="174" fontId="0" fillId="0" borderId="9" xfId="0" applyNumberFormat="1" applyBorder="1"/>
    <xf numFmtId="0" fontId="10" fillId="0" borderId="41" xfId="0" applyFont="1" applyBorder="1"/>
    <xf numFmtId="0" fontId="0" fillId="0" borderId="37" xfId="0" applyBorder="1"/>
    <xf numFmtId="0" fontId="0" fillId="0" borderId="37" xfId="0" applyBorder="1" applyAlignment="1">
      <alignment horizontal="left" indent="1"/>
    </xf>
    <xf numFmtId="0" fontId="0" fillId="0" borderId="37" xfId="0" applyBorder="1" applyAlignment="1">
      <alignment horizontal="left"/>
    </xf>
    <xf numFmtId="0" fontId="10" fillId="0" borderId="42" xfId="0" applyFont="1" applyBorder="1"/>
    <xf numFmtId="0" fontId="0" fillId="0" borderId="43" xfId="0" applyBorder="1"/>
    <xf numFmtId="0" fontId="0" fillId="0" borderId="38" xfId="0" applyBorder="1"/>
    <xf numFmtId="14" fontId="52" fillId="0" borderId="5" xfId="0" applyNumberFormat="1" applyFont="1" applyBorder="1"/>
    <xf numFmtId="0" fontId="43" fillId="0" borderId="5" xfId="0" applyNumberFormat="1" applyFont="1" applyBorder="1"/>
    <xf numFmtId="178" fontId="43" fillId="0" borderId="5" xfId="0" applyNumberFormat="1" applyFont="1" applyBorder="1"/>
    <xf numFmtId="0" fontId="44" fillId="0" borderId="10" xfId="0" applyFont="1" applyBorder="1"/>
    <xf numFmtId="172" fontId="52" fillId="0" borderId="10" xfId="0" applyNumberFormat="1" applyFont="1" applyBorder="1"/>
    <xf numFmtId="0" fontId="0" fillId="0" borderId="0" xfId="0"/>
    <xf numFmtId="0" fontId="43" fillId="2" borderId="33" xfId="5" applyFont="1" applyFill="1" applyBorder="1" applyAlignment="1" applyProtection="1">
      <alignment vertical="center"/>
    </xf>
    <xf numFmtId="184" fontId="44" fillId="2" borderId="34" xfId="4" applyNumberFormat="1" applyFont="1" applyFill="1" applyBorder="1" applyAlignment="1" applyProtection="1">
      <alignment vertical="center" wrapText="1"/>
      <protection locked="0"/>
    </xf>
    <xf numFmtId="184" fontId="44" fillId="2" borderId="17" xfId="4" applyNumberFormat="1" applyFont="1" applyFill="1" applyBorder="1" applyAlignment="1" applyProtection="1">
      <alignment vertical="center" wrapText="1"/>
      <protection locked="0"/>
    </xf>
    <xf numFmtId="0" fontId="43" fillId="2" borderId="44" xfId="5" applyFont="1" applyFill="1" applyBorder="1" applyAlignment="1" applyProtection="1">
      <alignment vertical="center"/>
    </xf>
    <xf numFmtId="167" fontId="44" fillId="2" borderId="45" xfId="6" applyFont="1" applyFill="1" applyBorder="1" applyAlignment="1" applyProtection="1">
      <alignment vertical="center"/>
      <protection locked="0"/>
    </xf>
    <xf numFmtId="167" fontId="44" fillId="2" borderId="46" xfId="6" applyFont="1" applyFill="1" applyBorder="1" applyAlignment="1" applyProtection="1">
      <alignment vertical="center"/>
      <protection locked="0"/>
    </xf>
    <xf numFmtId="167" fontId="44" fillId="2" borderId="47" xfId="6" applyFont="1" applyFill="1" applyBorder="1" applyAlignment="1" applyProtection="1">
      <alignment vertical="center"/>
      <protection locked="0"/>
    </xf>
    <xf numFmtId="0" fontId="10" fillId="0" borderId="4" xfId="0" applyFont="1" applyBorder="1"/>
    <xf numFmtId="0" fontId="53" fillId="0" borderId="5" xfId="0" applyFont="1" applyBorder="1"/>
    <xf numFmtId="176" fontId="38" fillId="0" borderId="0" xfId="0" applyNumberFormat="1" applyFont="1" applyAlignment="1">
      <alignment horizontal="right"/>
    </xf>
    <xf numFmtId="190" fontId="10" fillId="0" borderId="49" xfId="0" applyNumberFormat="1" applyFont="1" applyBorder="1"/>
    <xf numFmtId="191" fontId="10" fillId="0" borderId="0" xfId="0" applyNumberFormat="1" applyFont="1"/>
    <xf numFmtId="192" fontId="27" fillId="0" borderId="0" xfId="0" applyNumberFormat="1" applyFont="1"/>
    <xf numFmtId="192" fontId="38" fillId="0" borderId="0" xfId="0" applyNumberFormat="1" applyFont="1"/>
    <xf numFmtId="192" fontId="30" fillId="0" borderId="0" xfId="0" applyNumberFormat="1" applyFont="1"/>
    <xf numFmtId="192" fontId="0" fillId="0" borderId="0" xfId="0" applyNumberFormat="1"/>
    <xf numFmtId="193" fontId="28" fillId="0" borderId="0" xfId="0" applyNumberFormat="1" applyFont="1"/>
    <xf numFmtId="192" fontId="10" fillId="0" borderId="0" xfId="0" applyNumberFormat="1" applyFont="1"/>
    <xf numFmtId="175" fontId="29" fillId="0" borderId="0" xfId="0" applyNumberFormat="1" applyFont="1"/>
    <xf numFmtId="174" fontId="0" fillId="0" borderId="0" xfId="0" quotePrefix="1" applyNumberFormat="1"/>
    <xf numFmtId="195" fontId="28" fillId="0" borderId="0" xfId="0" applyNumberFormat="1" applyFont="1"/>
    <xf numFmtId="196" fontId="28" fillId="0" borderId="0" xfId="0" applyNumberFormat="1" applyFont="1"/>
    <xf numFmtId="198" fontId="28" fillId="0" borderId="0" xfId="0" applyNumberFormat="1" applyFont="1"/>
    <xf numFmtId="196" fontId="0" fillId="0" borderId="0" xfId="0" applyNumberFormat="1"/>
    <xf numFmtId="195" fontId="56" fillId="0" borderId="0" xfId="0" applyNumberFormat="1" applyFont="1"/>
    <xf numFmtId="204" fontId="0" fillId="0" borderId="0" xfId="0" applyNumberFormat="1"/>
    <xf numFmtId="0" fontId="0" fillId="0" borderId="20" xfId="0" applyBorder="1"/>
    <xf numFmtId="0" fontId="0" fillId="0" borderId="22" xfId="0" quotePrefix="1" applyBorder="1"/>
    <xf numFmtId="0" fontId="0" fillId="0" borderId="22" xfId="0" applyBorder="1"/>
    <xf numFmtId="0" fontId="0" fillId="0" borderId="39" xfId="0" applyBorder="1"/>
    <xf numFmtId="170" fontId="28" fillId="0" borderId="50" xfId="0" applyNumberFormat="1" applyFont="1" applyFill="1" applyBorder="1" applyAlignment="1">
      <alignment horizontal="center"/>
    </xf>
    <xf numFmtId="176" fontId="38" fillId="0" borderId="0" xfId="0" applyNumberFormat="1" applyFont="1"/>
    <xf numFmtId="192" fontId="38" fillId="0" borderId="0" xfId="0" applyNumberFormat="1" applyFont="1" applyBorder="1"/>
    <xf numFmtId="174" fontId="38" fillId="0" borderId="0" xfId="0" applyNumberFormat="1" applyFont="1" applyBorder="1"/>
    <xf numFmtId="192" fontId="27" fillId="0" borderId="0" xfId="0" applyNumberFormat="1" applyFont="1" applyBorder="1"/>
    <xf numFmtId="206" fontId="27" fillId="0" borderId="0" xfId="0" applyNumberFormat="1" applyFont="1" applyFill="1" applyBorder="1" applyAlignment="1"/>
    <xf numFmtId="192" fontId="38" fillId="0" borderId="6" xfId="0" applyNumberFormat="1" applyFont="1" applyBorder="1"/>
    <xf numFmtId="192" fontId="27" fillId="0" borderId="0" xfId="0" applyNumberFormat="1" applyFont="1" applyBorder="1" applyAlignment="1">
      <alignment horizontal="center"/>
    </xf>
    <xf numFmtId="192" fontId="0" fillId="0" borderId="0" xfId="0" applyNumberFormat="1" applyBorder="1"/>
    <xf numFmtId="0" fontId="30" fillId="0" borderId="0" xfId="0" applyFont="1" applyBorder="1"/>
    <xf numFmtId="192" fontId="30" fillId="0" borderId="0" xfId="0" applyNumberFormat="1" applyFont="1" applyBorder="1"/>
    <xf numFmtId="193" fontId="28" fillId="0" borderId="0" xfId="0" applyNumberFormat="1" applyFont="1" applyBorder="1"/>
    <xf numFmtId="0" fontId="29" fillId="0" borderId="0" xfId="0" applyFont="1" applyBorder="1" applyAlignment="1">
      <alignment horizontal="left"/>
    </xf>
    <xf numFmtId="194" fontId="29" fillId="0" borderId="0" xfId="0" applyNumberFormat="1" applyFont="1" applyBorder="1"/>
    <xf numFmtId="193" fontId="26" fillId="0" borderId="0" xfId="0" applyNumberFormat="1" applyFont="1" applyBorder="1"/>
    <xf numFmtId="174" fontId="27" fillId="0" borderId="0" xfId="0" quotePrefix="1" applyNumberFormat="1" applyFont="1" applyBorder="1"/>
    <xf numFmtId="176" fontId="38" fillId="0" borderId="0" xfId="0" applyNumberFormat="1" applyFont="1" applyBorder="1" applyAlignment="1">
      <alignment horizontal="right"/>
    </xf>
    <xf numFmtId="0" fontId="0" fillId="0" borderId="7" xfId="0" applyFont="1" applyBorder="1" applyAlignment="1">
      <alignment horizontal="centerContinuous"/>
    </xf>
    <xf numFmtId="0" fontId="27" fillId="0" borderId="7" xfId="0" applyFont="1" applyBorder="1" applyAlignment="1">
      <alignment horizontal="centerContinuous"/>
    </xf>
    <xf numFmtId="0" fontId="55" fillId="0" borderId="7" xfId="0" applyFont="1" applyBorder="1" applyAlignment="1">
      <alignment horizontal="centerContinuous"/>
    </xf>
    <xf numFmtId="175" fontId="28" fillId="5" borderId="0" xfId="0" applyNumberFormat="1" applyFont="1" applyFill="1" applyBorder="1"/>
    <xf numFmtId="193" fontId="28" fillId="5" borderId="0" xfId="0" applyNumberFormat="1" applyFont="1" applyFill="1" applyBorder="1"/>
    <xf numFmtId="170" fontId="28" fillId="0" borderId="0" xfId="0" applyNumberFormat="1" applyFont="1" applyFill="1" applyBorder="1" applyAlignment="1"/>
    <xf numFmtId="0" fontId="29" fillId="0" borderId="0" xfId="0" applyFont="1" applyBorder="1"/>
    <xf numFmtId="0" fontId="31" fillId="0" borderId="0" xfId="0" applyFont="1" applyBorder="1"/>
    <xf numFmtId="0" fontId="31" fillId="0" borderId="0" xfId="0" applyFont="1" applyBorder="1" applyAlignment="1">
      <alignment horizontal="right"/>
    </xf>
    <xf numFmtId="200" fontId="27" fillId="0" borderId="0" xfId="0" applyNumberFormat="1" applyFont="1" applyBorder="1" applyAlignment="1">
      <alignment horizontal="right"/>
    </xf>
    <xf numFmtId="201" fontId="27" fillId="0" borderId="0" xfId="0" applyNumberFormat="1" applyFont="1" applyBorder="1" applyAlignment="1">
      <alignment horizontal="right"/>
    </xf>
    <xf numFmtId="0" fontId="0" fillId="0" borderId="52" xfId="0" applyBorder="1"/>
    <xf numFmtId="0" fontId="0" fillId="0" borderId="53" xfId="0" applyBorder="1"/>
    <xf numFmtId="0" fontId="0" fillId="0" borderId="54" xfId="0" applyBorder="1"/>
    <xf numFmtId="0" fontId="0" fillId="0" borderId="51" xfId="0" applyBorder="1"/>
    <xf numFmtId="0" fontId="10" fillId="0" borderId="54" xfId="0" applyFont="1" applyBorder="1"/>
    <xf numFmtId="0" fontId="0" fillId="0" borderId="55" xfId="0" applyBorder="1"/>
    <xf numFmtId="202" fontId="27" fillId="0" borderId="14" xfId="0" applyNumberFormat="1" applyFont="1" applyFill="1" applyBorder="1" applyAlignment="1"/>
    <xf numFmtId="202" fontId="27" fillId="0" borderId="7" xfId="0" applyNumberFormat="1" applyFont="1" applyFill="1" applyBorder="1" applyAlignment="1"/>
    <xf numFmtId="202" fontId="27" fillId="0" borderId="0" xfId="0" applyNumberFormat="1" applyFont="1" applyFill="1" applyBorder="1" applyAlignment="1"/>
    <xf numFmtId="0" fontId="27" fillId="0" borderId="56" xfId="0" applyNumberFormat="1" applyFont="1" applyFill="1" applyBorder="1" applyAlignment="1"/>
    <xf numFmtId="0" fontId="27" fillId="0" borderId="7" xfId="0" applyNumberFormat="1" applyFont="1" applyFill="1" applyBorder="1" applyAlignment="1">
      <alignment horizontal="right"/>
    </xf>
    <xf numFmtId="0" fontId="27" fillId="0" borderId="0" xfId="0" applyNumberFormat="1" applyFont="1" applyFill="1" applyBorder="1" applyAlignment="1">
      <alignment horizontal="right"/>
    </xf>
    <xf numFmtId="166" fontId="27" fillId="10" borderId="14" xfId="0" applyNumberFormat="1" applyFont="1" applyFill="1" applyBorder="1" applyAlignment="1">
      <alignment horizontal="right"/>
    </xf>
    <xf numFmtId="166" fontId="27" fillId="10" borderId="22" xfId="0" applyNumberFormat="1" applyFont="1" applyFill="1" applyBorder="1" applyAlignment="1">
      <alignment horizontal="right"/>
    </xf>
    <xf numFmtId="166" fontId="28" fillId="10" borderId="22" xfId="0" applyNumberFormat="1" applyFont="1" applyFill="1" applyBorder="1" applyAlignment="1">
      <alignment horizontal="right"/>
    </xf>
    <xf numFmtId="166" fontId="27" fillId="10" borderId="39" xfId="0" applyNumberFormat="1" applyFont="1" applyFill="1" applyBorder="1" applyAlignment="1">
      <alignment horizontal="right"/>
    </xf>
    <xf numFmtId="203" fontId="27" fillId="0" borderId="0" xfId="0" applyNumberFormat="1" applyFont="1" applyFill="1" applyBorder="1" applyAlignment="1"/>
    <xf numFmtId="0" fontId="30" fillId="0" borderId="0" xfId="0" applyNumberFormat="1" applyFont="1" applyFill="1" applyBorder="1" applyAlignment="1">
      <alignment horizontal="centerContinuous"/>
    </xf>
    <xf numFmtId="0" fontId="58" fillId="0" borderId="0" xfId="0" applyNumberFormat="1" applyFont="1" applyFill="1" applyBorder="1" applyAlignment="1">
      <alignment horizontal="centerContinuous"/>
    </xf>
    <xf numFmtId="193" fontId="28" fillId="10" borderId="7" xfId="0" applyNumberFormat="1" applyFont="1" applyFill="1" applyBorder="1" applyAlignment="1"/>
    <xf numFmtId="193" fontId="27" fillId="10" borderId="14" xfId="0" applyNumberFormat="1" applyFont="1" applyFill="1" applyBorder="1" applyAlignment="1"/>
    <xf numFmtId="193" fontId="27" fillId="10" borderId="7" xfId="0" applyNumberFormat="1" applyFont="1" applyFill="1" applyBorder="1" applyAlignment="1"/>
    <xf numFmtId="202" fontId="27" fillId="0" borderId="22" xfId="0" applyNumberFormat="1" applyFont="1" applyFill="1" applyBorder="1" applyAlignment="1"/>
    <xf numFmtId="165" fontId="0" fillId="0" borderId="0" xfId="0" applyNumberFormat="1" applyBorder="1"/>
    <xf numFmtId="165" fontId="0" fillId="0" borderId="6" xfId="0" applyNumberFormat="1" applyBorder="1"/>
    <xf numFmtId="165" fontId="27" fillId="0" borderId="17" xfId="0" applyNumberFormat="1" applyFont="1" applyFill="1" applyBorder="1" applyAlignment="1"/>
    <xf numFmtId="165" fontId="0" fillId="0" borderId="7" xfId="0" applyNumberFormat="1" applyBorder="1"/>
    <xf numFmtId="165" fontId="0" fillId="0" borderId="18" xfId="0" applyNumberFormat="1" applyBorder="1"/>
    <xf numFmtId="165" fontId="0" fillId="0" borderId="16" xfId="0" applyNumberFormat="1" applyBorder="1"/>
    <xf numFmtId="199" fontId="27" fillId="0" borderId="0" xfId="0" applyNumberFormat="1" applyFont="1" applyAlignment="1">
      <alignment horizontal="right"/>
    </xf>
    <xf numFmtId="0" fontId="27" fillId="0" borderId="18" xfId="0" applyNumberFormat="1" applyFont="1" applyFill="1" applyBorder="1" applyAlignment="1">
      <alignment horizontal="right"/>
    </xf>
    <xf numFmtId="177" fontId="27" fillId="0" borderId="6" xfId="0" applyNumberFormat="1" applyFont="1" applyBorder="1"/>
    <xf numFmtId="202" fontId="27" fillId="0" borderId="19" xfId="0" applyNumberFormat="1" applyFont="1" applyFill="1" applyBorder="1" applyAlignment="1"/>
    <xf numFmtId="175" fontId="0" fillId="0" borderId="0" xfId="0" applyNumberFormat="1" applyBorder="1" applyAlignment="1">
      <alignment horizontal="center"/>
    </xf>
    <xf numFmtId="0" fontId="0" fillId="0" borderId="0" xfId="0" applyFont="1" applyBorder="1"/>
    <xf numFmtId="175" fontId="26" fillId="0" borderId="22" xfId="0" applyNumberFormat="1" applyFont="1" applyBorder="1"/>
    <xf numFmtId="174" fontId="28" fillId="5" borderId="22" xfId="0" applyNumberFormat="1" applyFont="1" applyFill="1" applyBorder="1"/>
    <xf numFmtId="0" fontId="0" fillId="0" borderId="22" xfId="0" applyFont="1" applyBorder="1" applyAlignment="1">
      <alignment horizontal="center"/>
    </xf>
    <xf numFmtId="0" fontId="0" fillId="0" borderId="22" xfId="0" applyFont="1" applyBorder="1"/>
    <xf numFmtId="0" fontId="29" fillId="0" borderId="57" xfId="0" applyFont="1" applyBorder="1" applyAlignment="1">
      <alignment horizontal="center"/>
    </xf>
    <xf numFmtId="174" fontId="28" fillId="0" borderId="0" xfId="0" applyNumberFormat="1" applyFont="1" applyBorder="1"/>
    <xf numFmtId="0" fontId="0" fillId="0" borderId="18" xfId="0" applyBorder="1"/>
    <xf numFmtId="174" fontId="28" fillId="0" borderId="16" xfId="0" applyNumberFormat="1" applyFont="1" applyBorder="1"/>
    <xf numFmtId="0" fontId="0" fillId="0" borderId="17" xfId="0" applyBorder="1"/>
    <xf numFmtId="0" fontId="46" fillId="0" borderId="0" xfId="0" applyFont="1" applyFill="1" applyBorder="1"/>
    <xf numFmtId="0" fontId="45" fillId="0" borderId="0" xfId="0" applyFont="1" applyFill="1" applyBorder="1"/>
    <xf numFmtId="0" fontId="0" fillId="0" borderId="0" xfId="0" applyFont="1" applyFill="1" applyBorder="1"/>
    <xf numFmtId="175" fontId="0" fillId="0" borderId="0" xfId="0" applyNumberFormat="1" applyFont="1" applyBorder="1"/>
    <xf numFmtId="175" fontId="46" fillId="0" borderId="0" xfId="0" applyNumberFormat="1" applyFont="1" applyBorder="1"/>
    <xf numFmtId="9" fontId="27" fillId="0" borderId="22" xfId="2" applyNumberFormat="1" applyFont="1" applyFill="1" applyBorder="1" applyAlignment="1"/>
    <xf numFmtId="3" fontId="27" fillId="0" borderId="22" xfId="0" applyNumberFormat="1" applyFont="1" applyFill="1" applyBorder="1" applyAlignment="1"/>
    <xf numFmtId="0" fontId="46" fillId="0" borderId="22" xfId="0" applyFont="1" applyBorder="1"/>
    <xf numFmtId="0" fontId="46" fillId="0" borderId="22" xfId="0" applyFont="1" applyFill="1" applyBorder="1"/>
    <xf numFmtId="0" fontId="45" fillId="0" borderId="22" xfId="0" applyFont="1" applyFill="1" applyBorder="1"/>
    <xf numFmtId="0" fontId="0" fillId="0" borderId="22" xfId="0" applyFont="1" applyFill="1" applyBorder="1"/>
    <xf numFmtId="175" fontId="0" fillId="0" borderId="22" xfId="0" applyNumberFormat="1" applyFont="1" applyBorder="1"/>
    <xf numFmtId="175" fontId="46" fillId="0" borderId="22" xfId="0" applyNumberFormat="1" applyFont="1" applyBorder="1"/>
    <xf numFmtId="9" fontId="46" fillId="0" borderId="22" xfId="2" applyFont="1" applyBorder="1"/>
    <xf numFmtId="0" fontId="0" fillId="0" borderId="0" xfId="0" applyFill="1" applyBorder="1"/>
    <xf numFmtId="0" fontId="46" fillId="0" borderId="16" xfId="0" applyFont="1" applyBorder="1"/>
    <xf numFmtId="0" fontId="46" fillId="0" borderId="16" xfId="0" applyFont="1" applyFill="1" applyBorder="1"/>
    <xf numFmtId="0" fontId="45" fillId="0" borderId="16" xfId="0" applyFont="1" applyFill="1" applyBorder="1"/>
    <xf numFmtId="0" fontId="0" fillId="0" borderId="16" xfId="0" applyFill="1" applyBorder="1"/>
    <xf numFmtId="0" fontId="10" fillId="0" borderId="22" xfId="0" applyFont="1" applyBorder="1"/>
    <xf numFmtId="175" fontId="0" fillId="0" borderId="16" xfId="0" applyNumberFormat="1" applyBorder="1" applyAlignment="1"/>
    <xf numFmtId="0" fontId="10" fillId="0" borderId="16" xfId="0" applyFont="1" applyBorder="1"/>
    <xf numFmtId="174" fontId="28" fillId="5" borderId="15" xfId="0" applyNumberFormat="1" applyFont="1" applyFill="1" applyBorder="1" applyAlignment="1">
      <alignment horizontal="center" vertical="center"/>
    </xf>
    <xf numFmtId="0" fontId="29" fillId="0" borderId="59" xfId="0" applyFont="1" applyBorder="1" applyAlignment="1">
      <alignment horizontal="center"/>
    </xf>
    <xf numFmtId="0" fontId="0" fillId="0" borderId="60" xfId="0" applyFont="1" applyBorder="1"/>
    <xf numFmtId="174" fontId="28" fillId="5" borderId="58" xfId="0" applyNumberFormat="1" applyFont="1" applyFill="1" applyBorder="1"/>
    <xf numFmtId="0" fontId="0" fillId="0" borderId="0" xfId="0"/>
    <xf numFmtId="0" fontId="60" fillId="0" borderId="0" xfId="0" applyFont="1" applyBorder="1" applyAlignment="1"/>
    <xf numFmtId="0" fontId="10" fillId="0" borderId="69" xfId="0" applyFont="1" applyBorder="1" applyAlignment="1">
      <alignment horizontal="center"/>
    </xf>
    <xf numFmtId="0" fontId="41" fillId="12" borderId="50" xfId="0" applyNumberFormat="1" applyFont="1" applyFill="1" applyBorder="1" applyAlignment="1">
      <alignment horizontal="center"/>
    </xf>
    <xf numFmtId="0" fontId="28" fillId="12" borderId="19" xfId="0" applyNumberFormat="1" applyFont="1" applyFill="1" applyBorder="1" applyAlignment="1">
      <alignment horizontal="center"/>
    </xf>
    <xf numFmtId="193" fontId="29" fillId="0" borderId="0" xfId="0" applyNumberFormat="1" applyFont="1" applyBorder="1"/>
    <xf numFmtId="174" fontId="0" fillId="0" borderId="0" xfId="0" quotePrefix="1" applyNumberFormat="1" applyBorder="1"/>
    <xf numFmtId="14" fontId="28" fillId="0" borderId="0" xfId="0" applyNumberFormat="1" applyFont="1" applyBorder="1" applyAlignment="1">
      <alignment horizontal="right"/>
    </xf>
    <xf numFmtId="14" fontId="27" fillId="0" borderId="0" xfId="0" applyNumberFormat="1" applyFont="1" applyBorder="1"/>
    <xf numFmtId="0" fontId="31" fillId="0" borderId="0" xfId="0" applyFont="1" applyBorder="1" applyAlignment="1">
      <alignment horizontal="left" vertical="center"/>
    </xf>
    <xf numFmtId="195" fontId="28" fillId="0" borderId="0" xfId="0" applyNumberFormat="1" applyFont="1" applyBorder="1"/>
    <xf numFmtId="0" fontId="0" fillId="0" borderId="0" xfId="0" applyBorder="1" applyAlignment="1">
      <alignment horizontal="left" indent="1"/>
    </xf>
    <xf numFmtId="196" fontId="57" fillId="0" borderId="0" xfId="0" applyNumberFormat="1" applyFont="1" applyBorder="1" applyAlignment="1">
      <alignment horizontal="right"/>
    </xf>
    <xf numFmtId="0" fontId="27" fillId="0" borderId="0" xfId="0" applyFont="1" applyBorder="1" applyAlignment="1">
      <alignment horizontal="left" indent="1"/>
    </xf>
    <xf numFmtId="197" fontId="30" fillId="0" borderId="0" xfId="0" applyNumberFormat="1" applyFont="1" applyBorder="1"/>
    <xf numFmtId="0" fontId="0" fillId="0" borderId="0" xfId="0" applyBorder="1" applyAlignment="1">
      <alignment horizontal="left" vertical="center" indent="1"/>
    </xf>
    <xf numFmtId="170" fontId="28" fillId="0" borderId="0" xfId="0" applyNumberFormat="1" applyFont="1" applyBorder="1"/>
    <xf numFmtId="0" fontId="10" fillId="0" borderId="0" xfId="0" applyFont="1" applyBorder="1" applyAlignment="1">
      <alignment vertical="center"/>
    </xf>
    <xf numFmtId="0" fontId="55" fillId="0" borderId="0" xfId="0" applyFont="1" applyBorder="1" applyAlignment="1">
      <alignment horizontal="right"/>
    </xf>
    <xf numFmtId="192" fontId="27" fillId="0" borderId="0" xfId="0" applyNumberFormat="1" applyFont="1" applyBorder="1" applyAlignment="1">
      <alignment horizontal="right"/>
    </xf>
    <xf numFmtId="170" fontId="27" fillId="0" borderId="0" xfId="0" applyNumberFormat="1" applyFont="1" applyBorder="1" applyAlignment="1">
      <alignment horizontal="right"/>
    </xf>
    <xf numFmtId="0" fontId="55" fillId="0" borderId="0" xfId="0" applyFont="1" applyBorder="1" applyAlignment="1">
      <alignment horizontal="centerContinuous"/>
    </xf>
    <xf numFmtId="170" fontId="26" fillId="0" borderId="0" xfId="0" applyNumberFormat="1" applyFont="1" applyBorder="1" applyAlignment="1">
      <alignment horizontal="right"/>
    </xf>
    <xf numFmtId="199" fontId="30" fillId="0" borderId="0" xfId="0" applyNumberFormat="1" applyFont="1" applyBorder="1" applyAlignment="1">
      <alignment horizontal="right"/>
    </xf>
    <xf numFmtId="0" fontId="10" fillId="0" borderId="0" xfId="0" applyFont="1" applyBorder="1" applyAlignment="1">
      <alignment horizontal="centerContinuous"/>
    </xf>
    <xf numFmtId="199" fontId="27" fillId="0" borderId="0" xfId="0" applyNumberFormat="1" applyFont="1" applyBorder="1" applyAlignment="1">
      <alignment horizontal="right"/>
    </xf>
    <xf numFmtId="166" fontId="27" fillId="10" borderId="0" xfId="0" applyNumberFormat="1" applyFont="1" applyFill="1" applyBorder="1" applyAlignment="1"/>
    <xf numFmtId="166" fontId="28" fillId="10" borderId="0" xfId="0" applyNumberFormat="1" applyFont="1" applyFill="1" applyBorder="1" applyAlignment="1"/>
    <xf numFmtId="166" fontId="27" fillId="10" borderId="0" xfId="0" applyNumberFormat="1" applyFont="1" applyFill="1" applyBorder="1" applyAlignment="1">
      <alignment horizontal="right"/>
    </xf>
    <xf numFmtId="166" fontId="28" fillId="10" borderId="0" xfId="0" applyNumberFormat="1" applyFont="1" applyFill="1" applyBorder="1" applyAlignment="1">
      <alignment horizontal="right"/>
    </xf>
    <xf numFmtId="170" fontId="27" fillId="13" borderId="35" xfId="0" applyNumberFormat="1" applyFont="1" applyFill="1" applyBorder="1"/>
    <xf numFmtId="170" fontId="27" fillId="13" borderId="5" xfId="0" applyNumberFormat="1" applyFont="1" applyFill="1" applyBorder="1"/>
    <xf numFmtId="170" fontId="27" fillId="13" borderId="26" xfId="0" applyNumberFormat="1" applyFont="1" applyFill="1" applyBorder="1"/>
    <xf numFmtId="175" fontId="27" fillId="13" borderId="22" xfId="0" applyNumberFormat="1" applyFont="1" applyFill="1" applyBorder="1"/>
    <xf numFmtId="175" fontId="27" fillId="13" borderId="0" xfId="0" applyNumberFormat="1" applyFont="1" applyFill="1" applyBorder="1"/>
    <xf numFmtId="175" fontId="27" fillId="13" borderId="27" xfId="0" applyNumberFormat="1" applyFont="1" applyFill="1" applyBorder="1"/>
    <xf numFmtId="170" fontId="27" fillId="13" borderId="22" xfId="0" applyNumberFormat="1" applyFont="1" applyFill="1" applyBorder="1"/>
    <xf numFmtId="170" fontId="27" fillId="13" borderId="0" xfId="0" applyNumberFormat="1" applyFont="1" applyFill="1" applyBorder="1"/>
    <xf numFmtId="170" fontId="27" fillId="13" borderId="27" xfId="0" applyNumberFormat="1" applyFont="1" applyFill="1" applyBorder="1"/>
    <xf numFmtId="170" fontId="27" fillId="12" borderId="22" xfId="0" applyNumberFormat="1" applyFont="1" applyFill="1" applyBorder="1" applyAlignment="1"/>
    <xf numFmtId="175" fontId="27" fillId="12" borderId="22" xfId="0" applyNumberFormat="1" applyFont="1" applyFill="1" applyBorder="1" applyAlignment="1"/>
    <xf numFmtId="170" fontId="27" fillId="12" borderId="0" xfId="0" applyNumberFormat="1" applyFont="1" applyFill="1" applyBorder="1" applyAlignment="1"/>
    <xf numFmtId="170" fontId="27" fillId="12" borderId="27" xfId="0" applyNumberFormat="1" applyFont="1" applyFill="1" applyBorder="1" applyAlignment="1"/>
    <xf numFmtId="175" fontId="27" fillId="13" borderId="36" xfId="0" applyNumberFormat="1" applyFont="1" applyFill="1" applyBorder="1"/>
    <xf numFmtId="175" fontId="27" fillId="13" borderId="10" xfId="0" applyNumberFormat="1" applyFont="1" applyFill="1" applyBorder="1"/>
    <xf numFmtId="175" fontId="27" fillId="13" borderId="28" xfId="0" applyNumberFormat="1" applyFont="1" applyFill="1" applyBorder="1"/>
    <xf numFmtId="174" fontId="28" fillId="5" borderId="0" xfId="0" applyNumberFormat="1" applyFont="1" applyFill="1"/>
    <xf numFmtId="169" fontId="27" fillId="0" borderId="0" xfId="0" applyNumberFormat="1" applyFont="1" applyFill="1" applyBorder="1" applyAlignment="1"/>
    <xf numFmtId="0" fontId="0" fillId="0" borderId="0" xfId="0"/>
    <xf numFmtId="0" fontId="0" fillId="0" borderId="0" xfId="0"/>
    <xf numFmtId="8" fontId="27" fillId="0" borderId="0" xfId="0" applyNumberFormat="1" applyFont="1" applyFill="1" applyBorder="1" applyAlignment="1"/>
    <xf numFmtId="9" fontId="28" fillId="0" borderId="0" xfId="0" applyNumberFormat="1" applyFont="1" applyFill="1" applyBorder="1" applyAlignment="1"/>
    <xf numFmtId="169" fontId="38" fillId="0" borderId="0" xfId="0" applyNumberFormat="1" applyFont="1" applyFill="1" applyBorder="1" applyAlignment="1"/>
    <xf numFmtId="169" fontId="0" fillId="0" borderId="0" xfId="0" applyNumberFormat="1"/>
    <xf numFmtId="169" fontId="0" fillId="0" borderId="0" xfId="0" applyNumberFormat="1" applyFill="1"/>
    <xf numFmtId="175" fontId="27" fillId="0" borderId="0" xfId="0" applyNumberFormat="1" applyFont="1" applyBorder="1" applyAlignment="1">
      <alignment horizontal="center"/>
    </xf>
    <xf numFmtId="175" fontId="0" fillId="0" borderId="16" xfId="0" applyNumberFormat="1" applyBorder="1" applyAlignment="1">
      <alignment horizontal="center"/>
    </xf>
    <xf numFmtId="0" fontId="43" fillId="0" borderId="13" xfId="5" applyFont="1" applyFill="1" applyBorder="1" applyAlignment="1" applyProtection="1">
      <alignment horizontal="center" vertical="center"/>
    </xf>
    <xf numFmtId="0" fontId="43" fillId="0" borderId="48" xfId="5" applyFont="1" applyFill="1" applyBorder="1" applyAlignment="1" applyProtection="1">
      <alignment horizontal="center" vertical="center"/>
    </xf>
    <xf numFmtId="0" fontId="10" fillId="0" borderId="29" xfId="0" applyFont="1" applyBorder="1" applyAlignment="1">
      <alignment horizontal="center" vertical="center"/>
    </xf>
    <xf numFmtId="0" fontId="10" fillId="0" borderId="31" xfId="0" applyFont="1" applyBorder="1" applyAlignment="1">
      <alignment horizontal="center" vertical="center"/>
    </xf>
    <xf numFmtId="0" fontId="10" fillId="0" borderId="30" xfId="0" applyFont="1" applyBorder="1" applyAlignment="1">
      <alignment horizontal="center" vertical="center"/>
    </xf>
    <xf numFmtId="0" fontId="10" fillId="0" borderId="32" xfId="0" applyFont="1" applyBorder="1" applyAlignment="1">
      <alignment horizontal="center" vertical="center"/>
    </xf>
    <xf numFmtId="169" fontId="27" fillId="0" borderId="0" xfId="0" applyNumberFormat="1" applyFont="1" applyFill="1" applyBorder="1" applyAlignment="1"/>
    <xf numFmtId="205" fontId="38" fillId="0" borderId="0" xfId="0" applyNumberFormat="1" applyFont="1" applyFill="1" applyBorder="1" applyAlignment="1">
      <alignment horizontal="center"/>
    </xf>
    <xf numFmtId="179" fontId="27" fillId="0" borderId="0" xfId="0" applyNumberFormat="1" applyFont="1" applyFill="1" applyBorder="1" applyAlignment="1">
      <alignment horizontal="center"/>
    </xf>
    <xf numFmtId="170" fontId="41" fillId="12" borderId="20" xfId="0" applyNumberFormat="1" applyFont="1" applyFill="1" applyBorder="1" applyAlignment="1">
      <alignment horizontal="center"/>
    </xf>
    <xf numFmtId="170" fontId="41" fillId="12" borderId="21" xfId="0" applyNumberFormat="1" applyFont="1" applyFill="1" applyBorder="1" applyAlignment="1">
      <alignment horizontal="center"/>
    </xf>
    <xf numFmtId="0" fontId="10" fillId="0" borderId="68" xfId="0" applyFont="1" applyBorder="1" applyAlignment="1">
      <alignment horizontal="center"/>
    </xf>
    <xf numFmtId="0" fontId="0" fillId="0" borderId="18" xfId="0" applyBorder="1" applyAlignment="1">
      <alignment horizontal="center"/>
    </xf>
    <xf numFmtId="0" fontId="60" fillId="11" borderId="70" xfId="0" applyFont="1" applyFill="1" applyBorder="1" applyAlignment="1">
      <alignment horizontal="center" vertical="center" wrapText="1"/>
    </xf>
    <xf numFmtId="0" fontId="60" fillId="11" borderId="65" xfId="0" applyFont="1" applyFill="1" applyBorder="1" applyAlignment="1">
      <alignment horizontal="center" vertical="center" wrapText="1"/>
    </xf>
    <xf numFmtId="175" fontId="27" fillId="0" borderId="0" xfId="0" applyNumberFormat="1" applyFont="1" applyFill="1" applyBorder="1" applyAlignment="1">
      <alignment horizontal="center"/>
    </xf>
    <xf numFmtId="175" fontId="27" fillId="0" borderId="16" xfId="0" applyNumberFormat="1" applyFont="1" applyFill="1" applyBorder="1" applyAlignment="1">
      <alignment horizontal="center"/>
    </xf>
    <xf numFmtId="175" fontId="28" fillId="6" borderId="0" xfId="0" applyNumberFormat="1" applyFont="1" applyFill="1" applyBorder="1" applyAlignment="1">
      <alignment horizontal="center"/>
    </xf>
    <xf numFmtId="175" fontId="28" fillId="6" borderId="16" xfId="0" applyNumberFormat="1" applyFont="1" applyFill="1" applyBorder="1" applyAlignment="1">
      <alignment horizontal="center"/>
    </xf>
    <xf numFmtId="0" fontId="0" fillId="11" borderId="71" xfId="0" applyFill="1" applyBorder="1" applyAlignment="1">
      <alignment horizontal="center"/>
    </xf>
    <xf numFmtId="0" fontId="0" fillId="11" borderId="72" xfId="0" applyFill="1" applyBorder="1" applyAlignment="1">
      <alignment horizontal="center"/>
    </xf>
    <xf numFmtId="207" fontId="59" fillId="11" borderId="41" xfId="0" applyNumberFormat="1" applyFont="1" applyFill="1" applyBorder="1" applyAlignment="1">
      <alignment horizontal="center" vertical="center" wrapText="1"/>
    </xf>
    <xf numFmtId="207" fontId="59" fillId="11" borderId="43" xfId="0" applyNumberFormat="1" applyFont="1" applyFill="1" applyBorder="1" applyAlignment="1">
      <alignment horizontal="center" vertical="center" wrapText="1"/>
    </xf>
    <xf numFmtId="207" fontId="59" fillId="11" borderId="10" xfId="0" applyNumberFormat="1" applyFont="1" applyFill="1" applyBorder="1" applyAlignment="1">
      <alignment horizontal="center" vertical="center" wrapText="1"/>
    </xf>
    <xf numFmtId="207" fontId="59" fillId="11" borderId="61" xfId="0" applyNumberFormat="1" applyFont="1" applyFill="1" applyBorder="1" applyAlignment="1">
      <alignment horizontal="center" vertical="center" wrapText="1"/>
    </xf>
    <xf numFmtId="0" fontId="0" fillId="11" borderId="5" xfId="0" applyFill="1" applyBorder="1" applyAlignment="1">
      <alignment horizontal="center"/>
    </xf>
    <xf numFmtId="0" fontId="0" fillId="11" borderId="26" xfId="0" applyFill="1" applyBorder="1" applyAlignment="1">
      <alignment horizontal="center"/>
    </xf>
    <xf numFmtId="198" fontId="59" fillId="11" borderId="9" xfId="0" applyNumberFormat="1" applyFont="1" applyFill="1" applyBorder="1" applyAlignment="1">
      <alignment horizontal="center" vertical="center" wrapText="1"/>
    </xf>
    <xf numFmtId="198" fontId="59" fillId="11" borderId="73" xfId="0" applyNumberFormat="1" applyFont="1" applyFill="1" applyBorder="1" applyAlignment="1">
      <alignment horizontal="center" vertical="center" wrapText="1"/>
    </xf>
    <xf numFmtId="198" fontId="59" fillId="11" borderId="10" xfId="0" applyNumberFormat="1" applyFont="1" applyFill="1" applyBorder="1" applyAlignment="1">
      <alignment horizontal="center" vertical="center" wrapText="1"/>
    </xf>
    <xf numFmtId="198" fontId="59" fillId="11" borderId="28" xfId="0" applyNumberFormat="1" applyFont="1" applyFill="1" applyBorder="1" applyAlignment="1">
      <alignment horizontal="center" vertical="center" wrapText="1"/>
    </xf>
    <xf numFmtId="0" fontId="0" fillId="11" borderId="62" xfId="0" applyFill="1" applyBorder="1" applyAlignment="1">
      <alignment horizontal="center"/>
    </xf>
    <xf numFmtId="0" fontId="0" fillId="11" borderId="63" xfId="0" applyFill="1" applyBorder="1" applyAlignment="1">
      <alignment horizontal="center"/>
    </xf>
    <xf numFmtId="0" fontId="60" fillId="11" borderId="64" xfId="0" applyFont="1" applyFill="1" applyBorder="1" applyAlignment="1">
      <alignment horizontal="center" vertical="center" wrapText="1"/>
    </xf>
    <xf numFmtId="207" fontId="59" fillId="11" borderId="0" xfId="0" applyNumberFormat="1" applyFont="1" applyFill="1" applyBorder="1" applyAlignment="1">
      <alignment horizontal="center" vertical="center" wrapText="1"/>
    </xf>
    <xf numFmtId="207" fontId="59" fillId="11" borderId="38" xfId="0" applyNumberFormat="1" applyFont="1" applyFill="1" applyBorder="1" applyAlignment="1">
      <alignment horizontal="center" vertical="center" wrapText="1"/>
    </xf>
    <xf numFmtId="198" fontId="59" fillId="11" borderId="27" xfId="0" applyNumberFormat="1" applyFont="1" applyFill="1" applyBorder="1" applyAlignment="1">
      <alignment horizontal="center" vertical="center" wrapText="1"/>
    </xf>
    <xf numFmtId="0" fontId="27" fillId="0" borderId="0" xfId="0" applyNumberFormat="1" applyFont="1" applyFill="1" applyBorder="1" applyAlignment="1">
      <alignment horizontal="center"/>
    </xf>
    <xf numFmtId="0" fontId="0" fillId="0" borderId="0" xfId="0" applyBorder="1" applyAlignment="1">
      <alignment horizontal="center"/>
    </xf>
    <xf numFmtId="0" fontId="0" fillId="11" borderId="67" xfId="0" applyFill="1" applyBorder="1" applyAlignment="1">
      <alignment horizontal="center"/>
    </xf>
    <xf numFmtId="0" fontId="0" fillId="11" borderId="66" xfId="0" applyFill="1" applyBorder="1" applyAlignment="1">
      <alignment horizontal="center"/>
    </xf>
    <xf numFmtId="0" fontId="27" fillId="0" borderId="16" xfId="0" applyNumberFormat="1" applyFont="1" applyFill="1" applyBorder="1" applyAlignment="1">
      <alignment horizontal="center" vertical="center" wrapText="1"/>
    </xf>
    <xf numFmtId="0" fontId="27" fillId="0" borderId="0" xfId="0" applyNumberFormat="1" applyFont="1" applyFill="1" applyBorder="1" applyAlignment="1">
      <alignment horizontal="center" vertical="center" wrapText="1"/>
    </xf>
    <xf numFmtId="0" fontId="10" fillId="9" borderId="0" xfId="0" applyFont="1" applyFill="1" applyBorder="1" applyAlignment="1">
      <alignment horizontal="left"/>
    </xf>
    <xf numFmtId="177" fontId="38" fillId="0" borderId="0" xfId="8" applyNumberFormat="1" applyFont="1" applyAlignment="1">
      <alignment horizontal="center"/>
    </xf>
    <xf numFmtId="177" fontId="27" fillId="0" borderId="0" xfId="8" applyNumberFormat="1" applyFont="1" applyAlignment="1">
      <alignment horizontal="center"/>
    </xf>
    <xf numFmtId="177" fontId="28" fillId="0" borderId="0" xfId="8" applyNumberFormat="1" applyFont="1" applyFill="1" applyBorder="1" applyAlignment="1">
      <alignment horizontal="center"/>
    </xf>
    <xf numFmtId="177" fontId="28" fillId="0" borderId="0" xfId="8" applyNumberFormat="1" applyFont="1" applyAlignment="1">
      <alignment horizontal="center"/>
    </xf>
    <xf numFmtId="0" fontId="0" fillId="0" borderId="0" xfId="0"/>
    <xf numFmtId="0" fontId="0" fillId="0" borderId="74" xfId="0" applyBorder="1" applyAlignment="1">
      <alignment horizontal="center"/>
    </xf>
    <xf numFmtId="0" fontId="0" fillId="0" borderId="75" xfId="0" applyBorder="1" applyAlignment="1">
      <alignment horizontal="center"/>
    </xf>
    <xf numFmtId="0" fontId="0" fillId="0" borderId="76" xfId="0" applyBorder="1" applyAlignment="1">
      <alignment horizontal="center"/>
    </xf>
    <xf numFmtId="0" fontId="61" fillId="0" borderId="77" xfId="9" applyBorder="1" applyAlignment="1">
      <alignment horizontal="center"/>
    </xf>
    <xf numFmtId="0" fontId="61" fillId="0" borderId="78" xfId="9" applyBorder="1" applyAlignment="1">
      <alignment horizontal="center"/>
    </xf>
    <xf numFmtId="0" fontId="61" fillId="0" borderId="79" xfId="9" applyBorder="1" applyAlignment="1">
      <alignment horizontal="center"/>
    </xf>
    <xf numFmtId="170" fontId="29" fillId="11" borderId="24" xfId="0" applyNumberFormat="1" applyFont="1" applyFill="1" applyBorder="1" applyAlignment="1">
      <alignment horizontal="left"/>
    </xf>
    <xf numFmtId="0" fontId="27" fillId="0" borderId="6" xfId="0" applyNumberFormat="1" applyFont="1" applyFill="1" applyBorder="1" applyAlignment="1"/>
    <xf numFmtId="172" fontId="26" fillId="0" borderId="6" xfId="0" applyNumberFormat="1" applyFont="1" applyFill="1" applyBorder="1" applyAlignment="1"/>
  </cellXfs>
  <cellStyles count="10">
    <cellStyle name="Comma" xfId="4" builtinId="3"/>
    <cellStyle name="Comma 2" xfId="7" xr:uid="{914708A9-D9BA-4E22-AD63-E220C9DD62A3}"/>
    <cellStyle name="Currency 3" xfId="6" xr:uid="{728CFE0F-C567-45F1-92AC-EA62E148F85C}"/>
    <cellStyle name="Heading 4" xfId="1" builtinId="19"/>
    <cellStyle name="Hyperlink" xfId="9" builtinId="8"/>
    <cellStyle name="Normal" xfId="0" builtinId="0"/>
    <cellStyle name="Normal 3" xfId="5" xr:uid="{2E739584-899F-48B7-A4DF-8B1DC64D8CD7}"/>
    <cellStyle name="Normal_DCF_Model" xfId="8" xr:uid="{A8D43C4B-93DE-4D0E-8778-0D4D100AF993}"/>
    <cellStyle name="Percent" xfId="2" builtinId="5"/>
    <cellStyle name="Total" xfId="3" builtinId="25"/>
  </cellStyles>
  <dxfs count="12">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FF9999"/>
      <color rgb="FFFFA7A7"/>
      <color rgb="FFDDF4FF"/>
      <color rgb="FFCCFFFF"/>
      <color rgb="FF63A6E3"/>
      <color rgb="FF190082"/>
      <color rgb="FF819F81"/>
      <color rgb="FF695977"/>
      <color rgb="FF77418F"/>
      <color rgb="FF77B3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Equity Valuation Range </a:t>
            </a:r>
          </a:p>
        </c:rich>
      </c:tx>
      <c:layout>
        <c:manualLayout>
          <c:xMode val="edge"/>
          <c:yMode val="edge"/>
          <c:x val="0.36941011338801133"/>
          <c:y val="3.9835388881221533E-2"/>
        </c:manualLayout>
      </c:layout>
      <c:overlay val="0"/>
    </c:title>
    <c:autoTitleDeleted val="0"/>
    <c:plotArea>
      <c:layout/>
      <c:barChart>
        <c:barDir val="col"/>
        <c:grouping val="stacked"/>
        <c:varyColors val="0"/>
        <c:ser>
          <c:idx val="0"/>
          <c:order val="0"/>
          <c:tx>
            <c:strRef>
              <c:f>DCF!$B$96</c:f>
              <c:strCache>
                <c:ptCount val="1"/>
                <c:pt idx="0">
                  <c:v>Value at 2.0%-4.0% Perpetuity Range with 15.0% DR</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'[1]Integrated DCF'!$B$128:$B$130</c:f>
              <c:strCache>
                <c:ptCount val="3"/>
                <c:pt idx="0">
                  <c:v>DCF Value at 11.0x-15.0x Exit EBITDA Range at 9.0% WACC</c:v>
                </c:pt>
                <c:pt idx="1">
                  <c:v>DCF Value at 2.0%-4.0% Perpetuity Range at 9.0% WACC</c:v>
                </c:pt>
                <c:pt idx="2">
                  <c:v>52 Week Market High/Low</c:v>
                </c:pt>
              </c:strCache>
            </c:strRef>
          </c:cat>
          <c:val>
            <c:numRef>
              <c:f>DCF!$C$96:$C$98</c:f>
              <c:numCache>
                <c:formatCode>_([$$-409]* #,##0.00_);_([$$-409]* \(#,##0.00\);_([$$-409]* "-"??_);_(@_)</c:formatCode>
                <c:ptCount val="3"/>
                <c:pt idx="0">
                  <c:v>794.33652783218974</c:v>
                </c:pt>
                <c:pt idx="1">
                  <c:v>560.37700653597062</c:v>
                </c:pt>
                <c:pt idx="2">
                  <c:v>329.88</c:v>
                </c:pt>
              </c:numCache>
            </c:numRef>
          </c:val>
          <c:extLst>
            <c:ext xmlns:c16="http://schemas.microsoft.com/office/drawing/2014/chart" uri="{C3380CC4-5D6E-409C-BE32-E72D297353CC}">
              <c16:uniqueId val="{00000000-0E29-4E87-8BB9-57DED62B82AF}"/>
            </c:ext>
          </c:extLst>
        </c:ser>
        <c:ser>
          <c:idx val="1"/>
          <c:order val="1"/>
          <c:tx>
            <c:strRef>
              <c:f>DCF!$B$97</c:f>
              <c:strCache>
                <c:ptCount val="1"/>
                <c:pt idx="0">
                  <c:v>Value at 3.0x-7.0x Exit EBITDA Range with 15.0% DR</c:v>
                </c:pt>
              </c:strCache>
            </c:strRef>
          </c:tx>
          <c:spPr>
            <a:solidFill>
              <a:srgbClr val="63A6E3"/>
            </a:solidFill>
          </c:spPr>
          <c:invertIfNegative val="0"/>
          <c:cat>
            <c:strRef>
              <c:f>'[1]Integrated DCF'!$B$128:$B$130</c:f>
              <c:strCache>
                <c:ptCount val="3"/>
                <c:pt idx="0">
                  <c:v>DCF Value at 11.0x-15.0x Exit EBITDA Range at 9.0% WACC</c:v>
                </c:pt>
                <c:pt idx="1">
                  <c:v>DCF Value at 2.0%-4.0% Perpetuity Range at 9.0% WACC</c:v>
                </c:pt>
                <c:pt idx="2">
                  <c:v>52 Week Market High/Low</c:v>
                </c:pt>
              </c:strCache>
            </c:strRef>
          </c:cat>
          <c:val>
            <c:numRef>
              <c:f>DCF!$D$96:$D$98</c:f>
              <c:numCache>
                <c:formatCode>_([$$-409]* #,##0.00_);_([$$-409]* \(#,##0.00\);_([$$-409]* "-"??_);_(@_)</c:formatCode>
                <c:ptCount val="3"/>
                <c:pt idx="0">
                  <c:v>114.40979008606962</c:v>
                </c:pt>
                <c:pt idx="1">
                  <c:v>432.21504108888223</c:v>
                </c:pt>
                <c:pt idx="2">
                  <c:v>570.52</c:v>
                </c:pt>
              </c:numCache>
            </c:numRef>
          </c:val>
          <c:extLst>
            <c:ext xmlns:c16="http://schemas.microsoft.com/office/drawing/2014/chart" uri="{C3380CC4-5D6E-409C-BE32-E72D297353CC}">
              <c16:uniqueId val="{00000001-0E29-4E87-8BB9-57DED62B82AF}"/>
            </c:ext>
          </c:extLst>
        </c:ser>
        <c:ser>
          <c:idx val="2"/>
          <c:order val="2"/>
          <c:tx>
            <c:strRef>
              <c:f>DCF!$B$98</c:f>
              <c:strCache>
                <c:ptCount val="1"/>
                <c:pt idx="0">
                  <c:v>52 Week Market High/Low</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'[1]Integrated DCF'!$B$128:$B$130</c:f>
              <c:strCache>
                <c:ptCount val="3"/>
                <c:pt idx="0">
                  <c:v>DCF Value at 11.0x-15.0x Exit EBITDA Range at 9.0% WACC</c:v>
                </c:pt>
                <c:pt idx="1">
                  <c:v>DCF Value at 2.0%-4.0% Perpetuity Range at 9.0% WACC</c:v>
                </c:pt>
                <c:pt idx="2">
                  <c:v>52 Week Market High/Low</c:v>
                </c:pt>
              </c:strCache>
            </c:strRef>
          </c:cat>
          <c:val>
            <c:numRef>
              <c:f>DCF!$E$96:$E$98</c:f>
              <c:numCache>
                <c:formatCode>_([$$-409]* #,##0.00_);_([$$-409]* \(#,##0.00\);_([$$-409]* "-"??_);_(@_)</c:formatCode>
                <c:ptCount val="3"/>
                <c:pt idx="0">
                  <c:v>908.74631791825936</c:v>
                </c:pt>
                <c:pt idx="1">
                  <c:v>992.59204762485285</c:v>
                </c:pt>
                <c:pt idx="2">
                  <c:v>900.4</c:v>
                </c:pt>
              </c:numCache>
            </c:numRef>
          </c:val>
          <c:extLst>
            <c:ext xmlns:c16="http://schemas.microsoft.com/office/drawing/2014/chart" uri="{C3380CC4-5D6E-409C-BE32-E72D297353CC}">
              <c16:uniqueId val="{00000002-0E29-4E87-8BB9-57DED62B82AF}"/>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600"/>
          <c:min val="100"/>
        </c:scaling>
        <c:delete val="0"/>
        <c:axPos val="l"/>
        <c:numFmt formatCode="_([$$-409]* #,##0.00_);_([$$-409]* \(#,##0.00\);_([$$-409]* &quot;-&quot;??_);_(@_)"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34636</xdr:colOff>
      <xdr:row>75</xdr:row>
      <xdr:rowOff>25979</xdr:rowOff>
    </xdr:from>
    <xdr:to>
      <xdr:col>4</xdr:col>
      <xdr:colOff>839931</xdr:colOff>
      <xdr:row>93</xdr:row>
      <xdr:rowOff>77934</xdr:rowOff>
    </xdr:to>
    <xdr:graphicFrame macro="">
      <xdr:nvGraphicFramePr>
        <xdr:cNvPr id="2" name="Chart 1">
          <a:extLst>
            <a:ext uri="{FF2B5EF4-FFF2-40B4-BE49-F238E27FC236}">
              <a16:creationId xmlns:a16="http://schemas.microsoft.com/office/drawing/2014/main" id="{0230D55E-67FC-4E9B-8D66-335099F13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51954</xdr:colOff>
      <xdr:row>78</xdr:row>
      <xdr:rowOff>24462</xdr:rowOff>
    </xdr:from>
    <xdr:to>
      <xdr:col>20</xdr:col>
      <xdr:colOff>519544</xdr:colOff>
      <xdr:row>87</xdr:row>
      <xdr:rowOff>98711</xdr:rowOff>
    </xdr:to>
    <xdr:pic>
      <xdr:nvPicPr>
        <xdr:cNvPr id="4" name="Picture 3">
          <a:extLst>
            <a:ext uri="{FF2B5EF4-FFF2-40B4-BE49-F238E27FC236}">
              <a16:creationId xmlns:a16="http://schemas.microsoft.com/office/drawing/2014/main" id="{A60CD8F4-2519-4EA1-B6F7-8192B6950260}"/>
            </a:ext>
          </a:extLst>
        </xdr:cNvPr>
        <xdr:cNvPicPr>
          <a:picLocks noChangeAspect="1"/>
        </xdr:cNvPicPr>
      </xdr:nvPicPr>
      <xdr:blipFill>
        <a:blip xmlns:r="http://schemas.openxmlformats.org/officeDocument/2006/relationships" r:embed="rId2"/>
        <a:stretch>
          <a:fillRect/>
        </a:stretch>
      </xdr:blipFill>
      <xdr:spPr>
        <a:xfrm>
          <a:off x="13819909" y="14996030"/>
          <a:ext cx="3809999" cy="18147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0</xdr:row>
      <xdr:rowOff>190500</xdr:rowOff>
    </xdr:from>
    <xdr:to>
      <xdr:col>22</xdr:col>
      <xdr:colOff>228600</xdr:colOff>
      <xdr:row>12</xdr:row>
      <xdr:rowOff>138090</xdr:rowOff>
    </xdr:to>
    <xdr:pic>
      <xdr:nvPicPr>
        <xdr:cNvPr id="4" name="Picture 3">
          <a:extLst>
            <a:ext uri="{FF2B5EF4-FFF2-40B4-BE49-F238E27FC236}">
              <a16:creationId xmlns:a16="http://schemas.microsoft.com/office/drawing/2014/main" id="{A64F1162-5FCC-4163-87F0-263D62131E8B}"/>
            </a:ext>
          </a:extLst>
        </xdr:cNvPr>
        <xdr:cNvPicPr>
          <a:picLocks noChangeAspect="1"/>
        </xdr:cNvPicPr>
      </xdr:nvPicPr>
      <xdr:blipFill rotWithShape="1">
        <a:blip xmlns:r="http://schemas.openxmlformats.org/officeDocument/2006/relationships" r:embed="rId1"/>
        <a:srcRect b="46536"/>
        <a:stretch/>
      </xdr:blipFill>
      <xdr:spPr>
        <a:xfrm>
          <a:off x="14497050" y="190500"/>
          <a:ext cx="5124450" cy="224311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urses/WSP/DCF/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sheetData sheetId="5"/>
      <sheetData sheetId="6"/>
      <sheetData sheetId="7"/>
      <sheetData sheetId="8"/>
      <sheetData sheetId="9"/>
      <sheetData sheetId="10">
        <row r="128">
          <cell r="B128" t="str">
            <v>DCF Value at 11.0x-15.0x Exit EBITDA Range at 9.0% WACC</v>
          </cell>
        </row>
        <row r="129">
          <cell r="B129" t="str">
            <v>DCF Value at 2.0%-4.0% Perpetuity Range at 9.0% WACC</v>
          </cell>
        </row>
        <row r="130">
          <cell r="B130" t="str">
            <v>52 Week Market High/Low</v>
          </cell>
        </row>
      </sheetData>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900.4</v>
    <v>329.88</v>
    <v>1.9686999999999999</v>
    <v>6.79</v>
    <v>2.352E-4</v>
    <v>1.0082000000000001E-2</v>
    <v>0.16</v>
    <v>USD</v>
    <v>Tesla, Inc. designs, develops, manufactures, sells and lease electric vehicles and energy generation and storage systems, and offer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Powerpack and Megapack.</v>
    <v>70757</v>
    <v>Nasdaq Stock Market</v>
    <v>XNAS</v>
    <v>XNAS</v>
    <v>3500 Deer Creek Rd, PALO ALTO, CA, 94304-1317 US</v>
    <v>692.12990000000002</v>
    <v>Automobiles &amp; Auto Parts</v>
    <v>Stock</v>
    <v>44428.999965126561</v>
    <v>0</v>
    <v>673.7</v>
    <v>673467700000</v>
    <v>TESLA, INC.</v>
    <v>TESLA, INC.</v>
    <v>682.85</v>
    <v>352.16140000000001</v>
    <v>673.47</v>
    <v>680.26</v>
    <v>680.42</v>
    <v>990015100</v>
    <v>TSLA</v>
    <v>TESLA, INC. (XNAS:TSLA)</v>
    <v>14841865</v>
    <v>19426274</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h:mm"/>
    </x:dxf>
    <x:dxf>
      <x:numFmt numFmtId="1" formatCode="0"/>
    </x:dxf>
    <x:dxf>
      <x:numFmt numFmtId="2" formatCode="0.00"/>
    </x:dxf>
  </dxfs>
  <richProperties>
    <rPr n="IsTitleField" t="b"/>
  </richProperties>
  <richStyles>
    <rSty dxfid="0"/>
    <rSty dxfid="1"/>
    <rSty>
      <rpv i="0">1</rpv>
    </rSty>
    <rSty dxfid="2"/>
    <rSty dxfid="3"/>
    <rSty dxfid="4"/>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youtube.com/watch?v=5hPQlSLUCgo&amp;t=25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3D59B-1306-4B0D-9EAC-E85DAE085C7D}">
  <sheetPr>
    <tabColor theme="9" tint="0.39997558519241921"/>
  </sheetPr>
  <dimension ref="A1:X124"/>
  <sheetViews>
    <sheetView tabSelected="1" zoomScaleNormal="100" workbookViewId="0"/>
  </sheetViews>
  <sheetFormatPr defaultRowHeight="15"/>
  <cols>
    <col min="1" max="1" width="1.7109375" customWidth="1"/>
    <col min="2" max="2" width="28.42578125" customWidth="1"/>
    <col min="3" max="10" width="10.7109375" customWidth="1"/>
    <col min="11" max="15" width="10.7109375" style="108" customWidth="1"/>
    <col min="16" max="16" width="2.28515625" customWidth="1"/>
    <col min="17" max="19" width="10.7109375" customWidth="1"/>
    <col min="20" max="20" width="2.28515625" style="136" customWidth="1"/>
    <col min="21" max="21" width="21" style="136" bestFit="1" customWidth="1"/>
    <col min="22" max="22" width="23.42578125" style="136" customWidth="1"/>
  </cols>
  <sheetData>
    <row r="1" spans="1:23" ht="15.75" customHeight="1" thickBot="1">
      <c r="B1" s="55" t="str">
        <f>C3&amp;" evaluation model"</f>
        <v>Tesla evaluation model</v>
      </c>
      <c r="G1" s="167"/>
      <c r="H1" s="167"/>
      <c r="I1" s="167"/>
      <c r="J1" s="167"/>
      <c r="K1" s="167"/>
      <c r="L1" s="167"/>
      <c r="M1" s="167"/>
      <c r="N1" s="167"/>
      <c r="O1" s="167"/>
      <c r="U1" s="13"/>
    </row>
    <row r="2" spans="1:23" s="51" customFormat="1" ht="15" customHeight="1" thickBot="1">
      <c r="B2" s="99" t="s">
        <v>189</v>
      </c>
      <c r="C2" s="101"/>
      <c r="D2" s="101"/>
      <c r="E2" s="101"/>
      <c r="F2" s="101"/>
      <c r="G2" s="13"/>
      <c r="H2" s="13"/>
      <c r="I2" s="54"/>
      <c r="J2" s="54"/>
      <c r="K2" s="54"/>
      <c r="L2" s="13"/>
      <c r="M2" s="13"/>
      <c r="N2" s="13"/>
      <c r="O2" s="13"/>
      <c r="T2" s="136"/>
      <c r="U2" s="136"/>
      <c r="V2" s="136"/>
    </row>
    <row r="3" spans="1:23" s="51" customFormat="1" ht="15" customHeight="1">
      <c r="B3" s="102"/>
      <c r="C3" s="104" t="s">
        <v>262</v>
      </c>
      <c r="D3" s="102"/>
      <c r="E3" s="102"/>
      <c r="F3" s="102"/>
      <c r="H3" s="13"/>
      <c r="K3" s="531" t="str">
        <f>C8</f>
        <v>Base case</v>
      </c>
      <c r="L3" s="495" t="s">
        <v>402</v>
      </c>
      <c r="M3" s="496"/>
      <c r="N3" s="501" t="s">
        <v>409</v>
      </c>
      <c r="O3" s="502"/>
    </row>
    <row r="4" spans="1:23" s="51" customFormat="1" ht="15" customHeight="1">
      <c r="B4" s="102" t="s">
        <v>263</v>
      </c>
      <c r="C4" s="103" t="e" vm="1">
        <v>#VALUE!</v>
      </c>
      <c r="D4" s="13"/>
      <c r="E4" s="102"/>
      <c r="F4" s="102"/>
      <c r="G4" s="13"/>
      <c r="H4" s="420"/>
      <c r="J4" s="13"/>
      <c r="K4" s="489" t="s">
        <v>408</v>
      </c>
      <c r="L4" s="497">
        <f ca="1">DCF!C70</f>
        <v>838319.39113497629</v>
      </c>
      <c r="M4" s="498"/>
      <c r="N4" s="503">
        <f ca="1">DCF!C72</f>
        <v>846.7743483255723</v>
      </c>
      <c r="O4" s="504"/>
    </row>
    <row r="5" spans="1:23" s="51" customFormat="1" ht="15" customHeight="1" thickBot="1">
      <c r="B5" s="102" t="s">
        <v>118</v>
      </c>
      <c r="C5" s="482" cm="1">
        <f t="array" ref="C5">_FV(C4,"Price")</f>
        <v>680.26</v>
      </c>
      <c r="D5" s="482"/>
      <c r="E5" s="102"/>
      <c r="F5" s="102"/>
      <c r="G5" s="13"/>
      <c r="H5" s="13"/>
      <c r="K5" s="490"/>
      <c r="L5" s="499"/>
      <c r="M5" s="500"/>
      <c r="N5" s="505"/>
      <c r="O5" s="506"/>
    </row>
    <row r="6" spans="1:23" s="51" customFormat="1" ht="15" customHeight="1">
      <c r="B6" s="102" t="s">
        <v>190</v>
      </c>
      <c r="C6" s="483">
        <f>IS!L2</f>
        <v>44196</v>
      </c>
      <c r="D6" s="483"/>
      <c r="E6" s="102"/>
      <c r="F6" s="102"/>
      <c r="G6" s="13"/>
      <c r="H6" s="13"/>
      <c r="T6" s="136"/>
    </row>
    <row r="7" spans="1:23" s="51" customFormat="1" ht="15" customHeight="1">
      <c r="B7" s="102" t="s">
        <v>264</v>
      </c>
      <c r="C7" s="484" cm="1">
        <f t="array" ref="C7">_FV(C4,"Shares outstanding",TRUE)*1/1000000</f>
        <v>990.01509999999996</v>
      </c>
      <c r="D7" s="484"/>
      <c r="E7" s="102" t="s">
        <v>185</v>
      </c>
      <c r="F7" s="13"/>
      <c r="G7" s="13"/>
      <c r="H7" s="13"/>
      <c r="K7" s="525" t="s">
        <v>415</v>
      </c>
      <c r="L7" s="526"/>
      <c r="M7" s="526"/>
      <c r="N7" s="526"/>
      <c r="O7" s="527"/>
      <c r="T7" s="136"/>
    </row>
    <row r="8" spans="1:23" s="51" customFormat="1" ht="15" customHeight="1">
      <c r="B8" s="102" t="s">
        <v>191</v>
      </c>
      <c r="C8" s="485" t="s">
        <v>192</v>
      </c>
      <c r="D8" s="486"/>
      <c r="E8" s="211"/>
      <c r="F8" s="212" t="s">
        <v>311</v>
      </c>
      <c r="G8" s="13"/>
      <c r="H8" s="13"/>
      <c r="I8" s="13"/>
      <c r="J8" s="13"/>
      <c r="K8" s="528" t="s">
        <v>414</v>
      </c>
      <c r="L8" s="529"/>
      <c r="M8" s="529"/>
      <c r="N8" s="529"/>
      <c r="O8" s="530"/>
      <c r="T8" s="136"/>
    </row>
    <row r="9" spans="1:23" s="108" customFormat="1" ht="15" customHeight="1">
      <c r="B9" s="102"/>
      <c r="C9" s="102"/>
      <c r="D9" s="102"/>
      <c r="E9" s="102"/>
      <c r="F9" s="102"/>
      <c r="G9" s="13"/>
      <c r="H9" s="13"/>
      <c r="T9" s="136"/>
    </row>
    <row r="10" spans="1:23" s="51" customFormat="1" ht="15.75" thickBot="1">
      <c r="B10" s="56" t="s">
        <v>416</v>
      </c>
      <c r="C10" s="56"/>
      <c r="D10" s="56"/>
      <c r="E10" s="56"/>
      <c r="F10" s="56"/>
      <c r="G10" s="56"/>
      <c r="H10" s="57"/>
      <c r="I10" s="56"/>
      <c r="J10" s="56"/>
      <c r="K10" s="56"/>
      <c r="L10" s="56"/>
      <c r="M10" s="56"/>
      <c r="N10" s="56"/>
      <c r="O10" s="56"/>
      <c r="P10" s="136"/>
      <c r="T10" s="136"/>
    </row>
    <row r="11" spans="1:23" s="51" customFormat="1" ht="15.75" thickTop="1">
      <c r="B11"/>
      <c r="C11" s="110">
        <f>FSM!C13</f>
        <v>2018</v>
      </c>
      <c r="D11" s="110">
        <f>FSM!D13</f>
        <v>2019</v>
      </c>
      <c r="E11" s="110">
        <f>FSM!E13</f>
        <v>2020</v>
      </c>
      <c r="F11" s="111">
        <f>FSM!F13</f>
        <v>2021</v>
      </c>
      <c r="G11" s="111">
        <f>FSM!G13</f>
        <v>2022</v>
      </c>
      <c r="H11" s="162">
        <f>FSM!H13</f>
        <v>2023</v>
      </c>
      <c r="I11" s="111">
        <f>FSM!I13</f>
        <v>2024</v>
      </c>
      <c r="J11" s="111">
        <f>FSM!J13</f>
        <v>2025</v>
      </c>
      <c r="K11" s="111">
        <f>FSM!K13</f>
        <v>2026</v>
      </c>
      <c r="L11" s="111">
        <f>FSM!L13</f>
        <v>2027</v>
      </c>
      <c r="M11" s="111">
        <f>FSM!M13</f>
        <v>2028</v>
      </c>
      <c r="N11" s="111">
        <f>FSM!N13</f>
        <v>2029</v>
      </c>
      <c r="O11" s="111">
        <f>FSM!O13</f>
        <v>2030</v>
      </c>
      <c r="T11" s="136"/>
      <c r="U11" s="478" t="s">
        <v>298</v>
      </c>
      <c r="V11" s="479"/>
    </row>
    <row r="12" spans="1:23" s="51" customFormat="1" ht="15.75" customHeight="1" thickBot="1">
      <c r="B12" s="532"/>
      <c r="C12" s="533">
        <f>FSM!C14</f>
        <v>43465</v>
      </c>
      <c r="D12" s="533">
        <f>FSM!D14</f>
        <v>43830</v>
      </c>
      <c r="E12" s="533">
        <f>FSM!E14</f>
        <v>44196</v>
      </c>
      <c r="F12" s="533">
        <f>FSM!F14</f>
        <v>44561</v>
      </c>
      <c r="G12" s="533">
        <f>FSM!G14</f>
        <v>44926</v>
      </c>
      <c r="H12" s="533">
        <f>FSM!H14</f>
        <v>45291</v>
      </c>
      <c r="I12" s="533">
        <f>FSM!I14</f>
        <v>45657</v>
      </c>
      <c r="J12" s="533">
        <f>FSM!J14</f>
        <v>46022</v>
      </c>
      <c r="K12" s="533">
        <f>FSM!K14</f>
        <v>46387</v>
      </c>
      <c r="L12" s="533">
        <f>FSM!L14</f>
        <v>46752</v>
      </c>
      <c r="M12" s="533">
        <f>FSM!M14</f>
        <v>47118</v>
      </c>
      <c r="N12" s="533">
        <f>FSM!N14</f>
        <v>47483</v>
      </c>
      <c r="O12" s="533">
        <f>FSM!O14</f>
        <v>47848</v>
      </c>
      <c r="T12" s="136"/>
      <c r="U12" s="480"/>
      <c r="V12" s="481"/>
    </row>
    <row r="13" spans="1:23" ht="16.5" thickTop="1" thickBot="1">
      <c r="B13" s="255"/>
      <c r="C13" s="96"/>
      <c r="D13" s="96"/>
      <c r="E13" s="96"/>
      <c r="F13" s="96"/>
      <c r="G13" s="96"/>
      <c r="H13" s="96"/>
      <c r="I13" s="96"/>
      <c r="J13" s="96"/>
      <c r="K13" s="96"/>
      <c r="L13" s="96"/>
      <c r="M13" s="96"/>
      <c r="N13" s="96"/>
      <c r="O13" s="96"/>
      <c r="R13" s="13"/>
      <c r="U13" s="174"/>
      <c r="V13" s="174"/>
    </row>
    <row r="14" spans="1:23" s="51" customFormat="1" ht="15" customHeight="1">
      <c r="A14" s="13"/>
      <c r="B14" s="218" t="s">
        <v>292</v>
      </c>
      <c r="C14" s="216"/>
      <c r="D14" s="216"/>
      <c r="E14" s="216"/>
      <c r="F14" s="449">
        <f ca="1">OFFSET(F$24,MATCH(Valuation!$C$8,$B$25:$B$27,0)+MATCH($B14,$B$24:$B$55,0)-1,0)</f>
        <v>33517.07182057199</v>
      </c>
      <c r="G14" s="450">
        <f ca="1">OFFSET(G$24,MATCH(Valuation!$C$8,$B$25:$B$27,0)+MATCH($B14,$B$24:$B$55,0)-1,0)</f>
        <v>44935.764137015241</v>
      </c>
      <c r="H14" s="450">
        <f ca="1">OFFSET(H$24,MATCH(Valuation!$C$8,$B$25:$B$27,0)+MATCH($B14,$B$24:$B$55,0)-1,0)</f>
        <v>60244.609355704917</v>
      </c>
      <c r="I14" s="450">
        <f ca="1">OFFSET(I$24,MATCH(Valuation!$C$8,$B$25:$B$27,0)+MATCH($B14,$B$24:$B$55,0)-1,0)</f>
        <v>80768.915943098604</v>
      </c>
      <c r="J14" s="450">
        <f ca="1">OFFSET(J$24,MATCH(Valuation!$C$8,$B$25:$B$27,0)+MATCH($B14,$B$24:$B$55,0)-1,0)</f>
        <v>108285.50226138312</v>
      </c>
      <c r="K14" s="450">
        <f ca="1">OFFSET(K$24,MATCH(Valuation!$C$8,$B$25:$B$27,0)+MATCH($B14,$B$24:$B$55,0)-1,0)</f>
        <v>145176.51825685953</v>
      </c>
      <c r="L14" s="450">
        <f ca="1">OFFSET(L$24,MATCH(Valuation!$C$8,$B$25:$B$27,0)+MATCH($B14,$B$24:$B$55,0)-1,0)</f>
        <v>194635.67156302967</v>
      </c>
      <c r="M14" s="450">
        <f ca="1">OFFSET(M$24,MATCH(Valuation!$C$8,$B$25:$B$27,0)+MATCH($B14,$B$24:$B$55,0)-1,0)</f>
        <v>260944.71130493309</v>
      </c>
      <c r="N14" s="450">
        <f ca="1">OFFSET(N$24,MATCH(Valuation!$C$8,$B$25:$B$27,0)+MATCH($B14,$B$24:$B$55,0)-1,0)</f>
        <v>349844.10520023463</v>
      </c>
      <c r="O14" s="451">
        <f ca="1">OFFSET(O$24,MATCH(Valuation!$C$8,$B$25:$B$27,0)+MATCH($B14,$B$24:$B$55,0)-1,0)</f>
        <v>469030</v>
      </c>
      <c r="P14" s="13"/>
      <c r="Q14" s="97"/>
      <c r="R14" s="97"/>
      <c r="S14" s="97"/>
      <c r="T14" s="97"/>
      <c r="U14" s="55" t="s">
        <v>300</v>
      </c>
      <c r="V14" s="136"/>
    </row>
    <row r="15" spans="1:23" s="51" customFormat="1">
      <c r="A15" s="13"/>
      <c r="B15" s="219" t="s">
        <v>295</v>
      </c>
      <c r="C15" s="168">
        <f>FSM!C7</f>
        <v>0.18834164298028983</v>
      </c>
      <c r="D15" s="168">
        <f>FSM!D7</f>
        <v>0.1655545609895028</v>
      </c>
      <c r="E15" s="168">
        <f>FSM!E7</f>
        <v>0.2102359208523592</v>
      </c>
      <c r="F15" s="452">
        <f ca="1">OFFSET(F$24,MATCH(Valuation!$C$8,$B$25:$B$27,0)+MATCH($B15,$B$24:$B$55,0)-1,0)</f>
        <v>0.21390957762765656</v>
      </c>
      <c r="G15" s="453">
        <f ca="1">OFFSET(G$24,MATCH(Valuation!$C$8,$B$25:$B$27,0)+MATCH($B15,$B$24:$B$55,0)-1,0)</f>
        <v>0.21764742778174462</v>
      </c>
      <c r="H15" s="453">
        <f ca="1">OFFSET(H$24,MATCH(Valuation!$C$8,$B$25:$B$27,0)+MATCH($B15,$B$24:$B$55,0)-1,0)</f>
        <v>0.2214505930279822</v>
      </c>
      <c r="I15" s="453">
        <f ca="1">OFFSET(I$24,MATCH(Valuation!$C$8,$B$25:$B$27,0)+MATCH($B15,$B$24:$B$55,0)-1,0)</f>
        <v>0.22532021468051691</v>
      </c>
      <c r="J15" s="453">
        <f ca="1">OFFSET(J$24,MATCH(Valuation!$C$8,$B$25:$B$27,0)+MATCH($B15,$B$24:$B$55,0)-1,0)</f>
        <v>0.22925745399678882</v>
      </c>
      <c r="K15" s="453">
        <f ca="1">OFFSET(K$24,MATCH(Valuation!$C$8,$B$25:$B$27,0)+MATCH($B15,$B$24:$B$55,0)-1,0)</f>
        <v>0.23326349252601894</v>
      </c>
      <c r="L15" s="453">
        <f ca="1">OFFSET(L$24,MATCH(Valuation!$C$8,$B$25:$B$27,0)+MATCH($B15,$B$24:$B$55,0)-1,0)</f>
        <v>0.23733953246378736</v>
      </c>
      <c r="M15" s="453">
        <f ca="1">OFFSET(M$24,MATCH(Valuation!$C$8,$B$25:$B$27,0)+MATCH($B15,$B$24:$B$55,0)-1,0)</f>
        <v>0.24148679701280706</v>
      </c>
      <c r="N15" s="453">
        <f ca="1">OFFSET(N$24,MATCH(Valuation!$C$8,$B$25:$B$27,0)+MATCH($B15,$B$24:$B$55,0)-1,0)</f>
        <v>0.24570653075000207</v>
      </c>
      <c r="O15" s="454">
        <f ca="1">OFFSET(O$24,MATCH(Valuation!$C$8,$B$25:$B$27,0)+MATCH($B15,$B$24:$B$55,0)-1,0)</f>
        <v>0.25</v>
      </c>
      <c r="P15" s="13"/>
      <c r="Q15" s="97"/>
      <c r="R15" s="97"/>
      <c r="S15" s="97"/>
      <c r="T15" s="97"/>
      <c r="U15" s="66" t="s">
        <v>301</v>
      </c>
      <c r="V15" s="170">
        <v>0.3</v>
      </c>
      <c r="W15" s="136"/>
    </row>
    <row r="16" spans="1:23" s="136" customFormat="1" ht="15" customHeight="1">
      <c r="A16" s="13"/>
      <c r="B16" s="219" t="s">
        <v>296</v>
      </c>
      <c r="C16" s="140"/>
      <c r="D16" s="140"/>
      <c r="E16" s="140"/>
      <c r="F16" s="455">
        <f ca="1">OFFSET(F$24,MATCH(Valuation!$C$8,$B$25:$B$27,0)+MATCH($B16,$B$24:$B$55,0)-1,0)</f>
        <v>0</v>
      </c>
      <c r="G16" s="456">
        <f ca="1">OFFSET(G$24,MATCH(Valuation!$C$8,$B$25:$B$27,0)+MATCH($B16,$B$24:$B$55,0)-1,0)</f>
        <v>0</v>
      </c>
      <c r="H16" s="456">
        <f ca="1">OFFSET(H$24,MATCH(Valuation!$C$8,$B$25:$B$27,0)+MATCH($B16,$B$24:$B$55,0)-1,0)</f>
        <v>4017.4637225159977</v>
      </c>
      <c r="I16" s="456">
        <f ca="1">OFFSET(I$24,MATCH(Valuation!$C$8,$B$25:$B$27,0)+MATCH($B16,$B$24:$B$55,0)-1,0)</f>
        <v>9394.1144965066633</v>
      </c>
      <c r="J16" s="456">
        <f ca="1">OFFSET(J$24,MATCH(Valuation!$C$8,$B$25:$B$27,0)+MATCH($B16,$B$24:$B$55,0)-1,0)</f>
        <v>17101.629195496</v>
      </c>
      <c r="K16" s="456">
        <f ca="1">OFFSET(K$24,MATCH(Valuation!$C$8,$B$25:$B$27,0)+MATCH($B16,$B$24:$B$55,0)-1,0)</f>
        <v>28613.586683766891</v>
      </c>
      <c r="L16" s="456">
        <f ca="1">OFFSET(L$24,MATCH(Valuation!$C$8,$B$25:$B$27,0)+MATCH($B16,$B$24:$B$55,0)-1,0)</f>
        <v>46199.065738330944</v>
      </c>
      <c r="M16" s="456">
        <f ca="1">OFFSET(M$24,MATCH(Valuation!$C$8,$B$25:$B$27,0)+MATCH($B16,$B$24:$B$55,0)-1,0)</f>
        <v>72262.320077787546</v>
      </c>
      <c r="N16" s="456">
        <f ca="1">OFFSET(N$24,MATCH(Valuation!$C$8,$B$25:$B$27,0)+MATCH($B16,$B$24:$B$55,0)-1,0)</f>
        <v>112164.28978460476</v>
      </c>
      <c r="O16" s="457">
        <f ca="1">OFFSET(O$24,MATCH(Valuation!$C$8,$B$25:$B$27,0)+MATCH($B16,$B$24:$B$55,0)-1,0)</f>
        <v>174102.74409149648</v>
      </c>
      <c r="P16" s="13"/>
      <c r="Q16" s="97"/>
      <c r="R16" s="97"/>
      <c r="S16" s="97"/>
      <c r="T16" s="97"/>
      <c r="U16" s="66" t="s">
        <v>302</v>
      </c>
      <c r="V16" s="165">
        <v>110000</v>
      </c>
    </row>
    <row r="17" spans="1:24" s="136" customFormat="1" ht="15" customHeight="1">
      <c r="A17" s="13"/>
      <c r="B17" s="219" t="s">
        <v>310</v>
      </c>
      <c r="C17" s="202"/>
      <c r="D17" s="202"/>
      <c r="E17" s="202"/>
      <c r="F17" s="458">
        <f ca="1">OFFSET(F$24,MATCH(Valuation!$C$8,$B$25:$B$27,0)+MATCH($B17,$B$24:$B$55,0)-1,0)</f>
        <v>2090.0969384426526</v>
      </c>
      <c r="G17" s="456">
        <f ca="1">OFFSET(G$24,MATCH(Valuation!$C$8,$B$25:$B$27,0)+MATCH($B17,$B$24:$B$55,0)-1,0)</f>
        <v>3121.4769291419057</v>
      </c>
      <c r="H17" s="456">
        <f ca="1">OFFSET(H$24,MATCH(Valuation!$C$8,$B$25:$B$27,0)+MATCH($B17,$B$24:$B$55,0)-1,0)</f>
        <v>4959.2582602563298</v>
      </c>
      <c r="I17" s="456">
        <f ca="1">OFFSET(I$24,MATCH(Valuation!$C$8,$B$25:$B$27,0)+MATCH($B17,$B$24:$B$55,0)-1,0)</f>
        <v>7576.5712398840042</v>
      </c>
      <c r="J17" s="456">
        <f ca="1">OFFSET(J$24,MATCH(Valuation!$C$8,$B$25:$B$27,0)+MATCH($B17,$B$24:$B$55,0)-1,0)</f>
        <v>11665.704838004474</v>
      </c>
      <c r="K17" s="456">
        <f ca="1">OFFSET(K$24,MATCH(Valuation!$C$8,$B$25:$B$27,0)+MATCH($B17,$B$24:$B$55,0)-1,0)</f>
        <v>18143.319546924766</v>
      </c>
      <c r="L17" s="456">
        <f ca="1">OFFSET(L$24,MATCH(Valuation!$C$8,$B$25:$B$27,0)+MATCH($B17,$B$24:$B$55,0)-1,0)</f>
        <v>28578.629704773484</v>
      </c>
      <c r="M17" s="456">
        <f ca="1">OFFSET(M$24,MATCH(Valuation!$C$8,$B$25:$B$27,0)+MATCH($B17,$B$24:$B$55,0)-1,0)</f>
        <v>45724.992966477104</v>
      </c>
      <c r="N17" s="456">
        <f ca="1">OFFSET(N$24,MATCH(Valuation!$C$8,$B$25:$B$27,0)+MATCH($B17,$B$24:$B$55,0)-1,0)</f>
        <v>74531.993674825106</v>
      </c>
      <c r="O17" s="457">
        <f ca="1">OFFSET(O$24,MATCH(Valuation!$C$8,$B$25:$B$27,0)+MATCH($B17,$B$24:$B$55,0)-1,0)</f>
        <v>124100.7773500227</v>
      </c>
      <c r="P17" s="13"/>
      <c r="Q17" s="97"/>
      <c r="R17" s="97"/>
      <c r="S17" s="97"/>
      <c r="T17" s="97"/>
      <c r="U17" s="95" t="s">
        <v>303</v>
      </c>
      <c r="V17" s="213">
        <v>5</v>
      </c>
    </row>
    <row r="18" spans="1:24" s="136" customFormat="1" ht="15" customHeight="1">
      <c r="A18" s="13"/>
      <c r="B18" s="219" t="s">
        <v>297</v>
      </c>
      <c r="C18" s="202"/>
      <c r="D18" s="202"/>
      <c r="E18" s="202"/>
      <c r="F18" s="458">
        <f ca="1">OFFSET(F$24,MATCH(Valuation!$C$8,$B$25:$B$27,0)+MATCH($B18,$B$24:$B$55,0)-1,0)</f>
        <v>3781.4551579448357</v>
      </c>
      <c r="G18" s="456">
        <f ca="1">OFFSET(G$24,MATCH(Valuation!$C$8,$B$25:$B$27,0)+MATCH($B18,$B$24:$B$55,0)-1,0)</f>
        <v>6008.0517943568293</v>
      </c>
      <c r="H18" s="456">
        <f ca="1">OFFSET(H$24,MATCH(Valuation!$C$8,$B$25:$B$27,0)+MATCH($B18,$B$24:$B$55,0)-1,0)</f>
        <v>9773.43900932613</v>
      </c>
      <c r="I18" s="456">
        <f ca="1">OFFSET(I$24,MATCH(Valuation!$C$8,$B$25:$B$27,0)+MATCH($B18,$B$24:$B$55,0)-1,0)</f>
        <v>16230.331040208488</v>
      </c>
      <c r="J18" s="456">
        <f ca="1">OFFSET(J$24,MATCH(Valuation!$C$8,$B$25:$B$27,0)+MATCH($B18,$B$24:$B$55,0)-1,0)</f>
        <v>27424.756080852712</v>
      </c>
      <c r="K18" s="456">
        <f ca="1">OFFSET(K$24,MATCH(Valuation!$C$8,$B$25:$B$27,0)+MATCH($B18,$B$24:$B$55,0)-1,0)</f>
        <v>46997.528907539752</v>
      </c>
      <c r="L18" s="456">
        <f ca="1">OFFSET(L$24,MATCH(Valuation!$C$8,$B$25:$B$27,0)+MATCH($B18,$B$24:$B$55,0)-1,0)</f>
        <v>81439.288701941594</v>
      </c>
      <c r="M18" s="456">
        <f ca="1">OFFSET(M$24,MATCH(Valuation!$C$8,$B$25:$B$27,0)+MATCH($B18,$B$24:$B$55,0)-1,0)</f>
        <v>142336.75056166004</v>
      </c>
      <c r="N18" s="456">
        <f ca="1">OFFSET(N$24,MATCH(Valuation!$C$8,$B$25:$B$27,0)+MATCH($B18,$B$24:$B$55,0)-1,0)</f>
        <v>250394.05912165646</v>
      </c>
      <c r="O18" s="457">
        <f ca="1">OFFSET(O$24,MATCH(Valuation!$C$8,$B$25:$B$27,0)+MATCH($B18,$B$24:$B$55,0)-1,0)</f>
        <v>442633.36453011422</v>
      </c>
      <c r="P18" s="13"/>
      <c r="Q18" s="97"/>
      <c r="R18" s="97"/>
      <c r="S18" s="97"/>
      <c r="T18" s="97"/>
      <c r="U18" s="95"/>
      <c r="V18" s="213"/>
    </row>
    <row r="19" spans="1:24" s="136" customFormat="1" ht="15" customHeight="1">
      <c r="A19" s="13"/>
      <c r="B19" s="219" t="s">
        <v>318</v>
      </c>
      <c r="C19" s="202"/>
      <c r="D19" s="202"/>
      <c r="E19" s="202"/>
      <c r="F19" s="459">
        <f ca="1">OFFSET(F$24,MATCH(Valuation!$C$8,$B$25:$B$27,0)+MATCH($B19,$B$24:$B$55,0)-1,0)</f>
        <v>8.3784006992343521E-2</v>
      </c>
      <c r="G19" s="453">
        <f ca="1">OFFSET(G$24,MATCH(Valuation!$C$8,$B$25:$B$27,0)+MATCH($B19,$B$24:$B$55,0)-1,0)</f>
        <v>7.156800027200666E-2</v>
      </c>
      <c r="H19" s="453">
        <f ca="1">OFFSET(H$24,MATCH(Valuation!$C$8,$B$25:$B$27,0)+MATCH($B19,$B$24:$B$55,0)-1,0)</f>
        <v>8.4134420268588889E-2</v>
      </c>
      <c r="I19" s="453">
        <f ca="1">OFFSET(I$24,MATCH(Valuation!$C$8,$B$25:$B$27,0)+MATCH($B19,$B$24:$B$55,0)-1,0)</f>
        <v>9.6886283937433523E-2</v>
      </c>
      <c r="J19" s="453">
        <f ca="1">OFFSET(J$24,MATCH(Valuation!$C$8,$B$25:$B$27,0)+MATCH($B19,$B$24:$B$55,0)-1,0)</f>
        <v>0.10965172455682626</v>
      </c>
      <c r="K19" s="453">
        <f ca="1">OFFSET(K$24,MATCH(Valuation!$C$8,$B$25:$B$27,0)+MATCH($B19,$B$24:$B$55,0)-1,0)</f>
        <v>0.12236346868038782</v>
      </c>
      <c r="L19" s="453">
        <f ca="1">OFFSET(L$24,MATCH(Valuation!$C$8,$B$25:$B$27,0)+MATCH($B19,$B$24:$B$55,0)-1,0)</f>
        <v>0.13503967828247135</v>
      </c>
      <c r="M19" s="453">
        <f ca="1">OFFSET(M$24,MATCH(Valuation!$C$8,$B$25:$B$27,0)+MATCH($B19,$B$24:$B$55,0)-1,0)</f>
        <v>0.14775659781997239</v>
      </c>
      <c r="N19" s="453">
        <f ca="1">OFFSET(N$24,MATCH(Valuation!$C$8,$B$25:$B$27,0)+MATCH($B19,$B$24:$B$55,0)-1,0)</f>
        <v>0.16062327340694188</v>
      </c>
      <c r="O19" s="454">
        <f ca="1">OFFSET(O$24,MATCH(Valuation!$C$8,$B$25:$B$27,0)+MATCH($B19,$B$24:$B$55,0)-1,0)</f>
        <v>0.17376284125837421</v>
      </c>
      <c r="P19" s="13"/>
      <c r="Q19" s="97"/>
      <c r="R19" s="97"/>
      <c r="S19" s="97"/>
      <c r="T19" s="97"/>
      <c r="U19" s="55" t="s">
        <v>299</v>
      </c>
      <c r="V19" s="170">
        <v>0.5</v>
      </c>
    </row>
    <row r="20" spans="1:24" s="247" customFormat="1" ht="15" customHeight="1">
      <c r="A20" s="13"/>
      <c r="B20" s="219" t="s">
        <v>334</v>
      </c>
      <c r="C20" s="202"/>
      <c r="D20" s="202"/>
      <c r="E20" s="202"/>
      <c r="F20" s="458">
        <f ca="1">OFFSET(F$24,MATCH(Valuation!$C$8,$B$25:$B$27,0)+MATCH($B20,$B$24:$B$123,0)-1,0)</f>
        <v>5951.7373516415582</v>
      </c>
      <c r="G20" s="460">
        <f ca="1">OFFSET(G$24,MATCH(Valuation!$C$8,$B$25:$B$27,0)+MATCH($B20,$B$24:$B$123,0)-1,0)</f>
        <v>8211.7120378278669</v>
      </c>
      <c r="H20" s="460">
        <f ca="1">OFFSET(H$24,MATCH(Valuation!$C$8,$B$25:$B$27,0)+MATCH($B20,$B$24:$B$123,0)-1,0)</f>
        <v>11370.265541617769</v>
      </c>
      <c r="I20" s="460">
        <f ca="1">OFFSET(I$24,MATCH(Valuation!$C$8,$B$25:$B$27,0)+MATCH($B20,$B$24:$B$123,0)-1,0)</f>
        <v>15814.879389765534</v>
      </c>
      <c r="J20" s="460">
        <f ca="1">OFFSET(J$24,MATCH(Valuation!$C$8,$B$25:$B$27,0)+MATCH($B20,$B$24:$B$123,0)-1,0)</f>
        <v>22121.867463571954</v>
      </c>
      <c r="K20" s="460">
        <f ca="1">OFFSET(K$24,MATCH(Valuation!$C$8,$B$25:$B$27,0)+MATCH($B20,$B$24:$B$123,0)-1,0)</f>
        <v>31162.893846962324</v>
      </c>
      <c r="L20" s="460">
        <f ca="1">OFFSET(L$24,MATCH(Valuation!$C$8,$B$25:$B$27,0)+MATCH($B20,$B$24:$B$123,0)-1,0)</f>
        <v>44280.141734370496</v>
      </c>
      <c r="M20" s="460">
        <f ca="1">OFFSET(M$24,MATCH(Valuation!$C$8,$B$25:$B$27,0)+MATCH($B20,$B$24:$B$123,0)-1,0)</f>
        <v>63578.757800726278</v>
      </c>
      <c r="N20" s="460">
        <f ca="1">OFFSET(N$24,MATCH(Valuation!$C$8,$B$25:$B$27,0)+MATCH($B20,$B$24:$B$123,0)-1,0)</f>
        <v>92421.596741614121</v>
      </c>
      <c r="O20" s="461">
        <f ca="1">OFFSET(O$24,MATCH(Valuation!$C$8,$B$25:$B$27,0)+MATCH($B20,$B$24:$B$123,0)-1,0)</f>
        <v>134741.9758378535</v>
      </c>
      <c r="P20" s="13"/>
      <c r="Q20" s="97"/>
      <c r="R20" s="97"/>
      <c r="S20" s="97"/>
      <c r="T20" s="97"/>
      <c r="U20" s="55"/>
      <c r="V20" s="55"/>
    </row>
    <row r="21" spans="1:24" s="51" customFormat="1">
      <c r="A21" s="13"/>
      <c r="B21" s="219" t="s">
        <v>210</v>
      </c>
      <c r="C21" s="140">
        <f>FSM!C8</f>
        <v>6.8030380690554962E-2</v>
      </c>
      <c r="D21" s="140">
        <f>FSM!D8</f>
        <v>5.4642363088941333E-2</v>
      </c>
      <c r="E21" s="140">
        <f>FSM!E8</f>
        <v>4.7279299847792999E-2</v>
      </c>
      <c r="F21" s="452">
        <f ca="1">OFFSET(F$24,MATCH(Valuation!$C$8,$B$25:$B$27,0)+MATCH($B21,$B$24:$B$55,0)-1,0)</f>
        <v>3.9414416736737859E-2</v>
      </c>
      <c r="G21" s="453">
        <f ca="1">OFFSET(G$24,MATCH(Valuation!$C$8,$B$25:$B$27,0)+MATCH($B21,$B$24:$B$55,0)-1,0)</f>
        <v>3.2857852203785516E-2</v>
      </c>
      <c r="H21" s="453">
        <f ca="1">OFFSET(H$24,MATCH(Valuation!$C$8,$B$25:$B$27,0)+MATCH($B21,$B$24:$B$55,0)-1,0)</f>
        <v>2.7391968239872253E-2</v>
      </c>
      <c r="I21" s="453">
        <f ca="1">OFFSET(I$24,MATCH(Valuation!$C$8,$B$25:$B$27,0)+MATCH($B21,$B$24:$B$55,0)-1,0)</f>
        <v>2.2835330787924317E-2</v>
      </c>
      <c r="J21" s="453">
        <f ca="1">OFFSET(J$24,MATCH(Valuation!$C$8,$B$25:$B$27,0)+MATCH($B21,$B$24:$B$55,0)-1,0)</f>
        <v>1.9036687237205852E-2</v>
      </c>
      <c r="K21" s="453">
        <f ca="1">OFFSET(K$24,MATCH(Valuation!$C$8,$B$25:$B$27,0)+MATCH($B21,$B$24:$B$55,0)-1,0)</f>
        <v>1.7453316497533952E-2</v>
      </c>
      <c r="L21" s="453">
        <f ca="1">OFFSET(L$24,MATCH(Valuation!$C$8,$B$25:$B$27,0)+MATCH($B21,$B$24:$B$55,0)-1,0)</f>
        <v>1.6001642143268293E-2</v>
      </c>
      <c r="M21" s="453">
        <f ca="1">OFFSET(M$24,MATCH(Valuation!$C$8,$B$25:$B$27,0)+MATCH($B21,$B$24:$B$55,0)-1,0)</f>
        <v>1.467071036713272E-2</v>
      </c>
      <c r="N21" s="453">
        <f ca="1">OFFSET(N$24,MATCH(Valuation!$C$8,$B$25:$B$27,0)+MATCH($B21,$B$24:$B$55,0)-1,0)</f>
        <v>1.3450478441479218E-2</v>
      </c>
      <c r="O21" s="454">
        <f ca="1">OFFSET(O$24,MATCH(Valuation!$C$8,$B$25:$B$27,0)+MATCH($B21,$B$24:$B$55,0)-1,0)</f>
        <v>1.2331738939513653E-2</v>
      </c>
      <c r="P21" s="13"/>
      <c r="Q21" s="97"/>
      <c r="R21" s="97"/>
      <c r="S21" s="97"/>
      <c r="T21" s="97"/>
      <c r="U21" s="55" t="s">
        <v>312</v>
      </c>
      <c r="V21" s="170">
        <v>0.8</v>
      </c>
      <c r="W21" s="136"/>
    </row>
    <row r="22" spans="1:24" s="51" customFormat="1" ht="15.75" thickBot="1">
      <c r="A22" s="13"/>
      <c r="B22" s="220" t="s">
        <v>211</v>
      </c>
      <c r="C22" s="217">
        <f>FSM!C9</f>
        <v>0.1321000885326872</v>
      </c>
      <c r="D22" s="217">
        <f>FSM!D9</f>
        <v>0.10765725445520384</v>
      </c>
      <c r="E22" s="217">
        <f>FSM!E9</f>
        <v>0.1010908168442415</v>
      </c>
      <c r="F22" s="462">
        <f ca="1">OFFSET(F$24,MATCH(Valuation!$C$8,$B$25:$B$27,0)+MATCH($B22,$B$24:$B$55,0)-1,0)</f>
        <v>8.8433335182719647E-2</v>
      </c>
      <c r="G22" s="463">
        <f ca="1">OFFSET(G$24,MATCH(Valuation!$C$8,$B$25:$B$27,0)+MATCH($B22,$B$24:$B$55,0)-1,0)</f>
        <v>7.7360684339793442E-2</v>
      </c>
      <c r="H22" s="463">
        <f ca="1">OFFSET(H$24,MATCH(Valuation!$C$8,$B$25:$B$27,0)+MATCH($B22,$B$24:$B$55,0)-1,0)</f>
        <v>6.7674429208801345E-2</v>
      </c>
      <c r="I22" s="463">
        <f ca="1">OFFSET(I$24,MATCH(Valuation!$C$8,$B$25:$B$27,0)+MATCH($B22,$B$24:$B$55,0)-1,0)</f>
        <v>5.9200980547443965E-2</v>
      </c>
      <c r="J22" s="463">
        <f ca="1">OFFSET(J$24,MATCH(Valuation!$C$8,$B$25:$B$27,0)+MATCH($B22,$B$24:$B$55,0)-1,0)</f>
        <v>5.1788484051565976E-2</v>
      </c>
      <c r="K22" s="463">
        <f ca="1">OFFSET(K$24,MATCH(Valuation!$C$8,$B$25:$B$27,0)+MATCH($B22,$B$24:$B$55,0)-1,0)</f>
        <v>4.854629149825665E-2</v>
      </c>
      <c r="L22" s="463">
        <f ca="1">OFFSET(L$24,MATCH(Valuation!$C$8,$B$25:$B$27,0)+MATCH($B22,$B$24:$B$55,0)-1,0)</f>
        <v>4.5507074813912085E-2</v>
      </c>
      <c r="M22" s="463">
        <f ca="1">OFFSET(M$24,MATCH(Valuation!$C$8,$B$25:$B$27,0)+MATCH($B22,$B$24:$B$55,0)-1,0)</f>
        <v>4.265812679416222E-2</v>
      </c>
      <c r="N22" s="463">
        <f ca="1">OFFSET(N$24,MATCH(Valuation!$C$8,$B$25:$B$27,0)+MATCH($B22,$B$24:$B$55,0)-1,0)</f>
        <v>3.9987535762911988E-2</v>
      </c>
      <c r="O22" s="464">
        <f ca="1">OFFSET(O$24,MATCH(Valuation!$C$8,$B$25:$B$27,0)+MATCH($B22,$B$24:$B$55,0)-1,0)</f>
        <v>3.7484135768685214E-2</v>
      </c>
      <c r="P22" s="13"/>
      <c r="Q22" s="141"/>
      <c r="R22" s="97"/>
      <c r="S22" s="97"/>
      <c r="T22" s="97"/>
      <c r="U22" s="55" t="s">
        <v>320</v>
      </c>
      <c r="V22" s="170">
        <v>0.06</v>
      </c>
      <c r="W22" s="136"/>
    </row>
    <row r="23" spans="1:24" s="51" customFormat="1">
      <c r="B23" s="13"/>
      <c r="C23" s="13"/>
      <c r="D23" s="13"/>
      <c r="E23" s="13"/>
      <c r="F23" s="13"/>
      <c r="G23" s="13"/>
      <c r="H23" s="13"/>
      <c r="I23" s="13"/>
      <c r="J23" s="13"/>
      <c r="K23" s="13"/>
      <c r="L23" s="13"/>
      <c r="M23" s="13"/>
      <c r="N23" s="13"/>
      <c r="O23" s="13"/>
      <c r="Q23" s="141"/>
      <c r="T23" s="136"/>
    </row>
    <row r="24" spans="1:24" s="51" customFormat="1" ht="15" customHeight="1">
      <c r="B24" s="143" t="s">
        <v>292</v>
      </c>
      <c r="C24" s="102"/>
      <c r="D24" s="102"/>
      <c r="E24" s="102"/>
      <c r="F24" s="102"/>
      <c r="G24" s="102"/>
      <c r="H24" s="102"/>
      <c r="I24" s="102"/>
      <c r="J24" s="102"/>
      <c r="K24" s="102"/>
      <c r="L24" s="102"/>
      <c r="M24" s="102"/>
      <c r="N24" s="102"/>
      <c r="O24" s="102"/>
      <c r="Q24" s="421" t="s">
        <v>287</v>
      </c>
      <c r="R24" s="487" t="s">
        <v>410</v>
      </c>
      <c r="S24" s="488"/>
      <c r="T24" s="169"/>
      <c r="U24" s="55" t="s">
        <v>403</v>
      </c>
      <c r="V24" s="256">
        <v>0.1</v>
      </c>
    </row>
    <row r="25" spans="1:24" s="51" customFormat="1">
      <c r="B25" s="125" t="s">
        <v>290</v>
      </c>
      <c r="C25" s="13"/>
      <c r="D25" s="13"/>
      <c r="E25" s="13"/>
      <c r="F25" s="105">
        <f>F60*F64/1000000</f>
        <v>34236.456393437184</v>
      </c>
      <c r="G25" s="105">
        <f t="shared" ref="G25:O27" si="0">G60*G64/1000000</f>
        <v>46885.397855189025</v>
      </c>
      <c r="H25" s="105">
        <f t="shared" si="0"/>
        <v>64207.595166325293</v>
      </c>
      <c r="I25" s="105">
        <f t="shared" si="0"/>
        <v>87929.621281574553</v>
      </c>
      <c r="J25" s="105">
        <f t="shared" si="0"/>
        <v>120415.94578792292</v>
      </c>
      <c r="K25" s="105">
        <f t="shared" si="0"/>
        <v>164904.61108170878</v>
      </c>
      <c r="L25" s="105">
        <f t="shared" si="0"/>
        <v>225829.98105502556</v>
      </c>
      <c r="M25" s="105">
        <f t="shared" si="0"/>
        <v>309264.73194884509</v>
      </c>
      <c r="N25" s="105">
        <f t="shared" si="0"/>
        <v>423525.14037578698</v>
      </c>
      <c r="O25" s="105">
        <f t="shared" si="0"/>
        <v>580000</v>
      </c>
      <c r="P25" s="13"/>
      <c r="Q25" s="384"/>
      <c r="S25" s="390"/>
      <c r="T25" s="13"/>
    </row>
    <row r="26" spans="1:24" s="51" customFormat="1" ht="15.75" thickBot="1">
      <c r="B26" s="95" t="s">
        <v>192</v>
      </c>
      <c r="C26" s="13"/>
      <c r="D26" s="13"/>
      <c r="E26"/>
      <c r="F26" s="105">
        <f>F61*F65/1000000</f>
        <v>33517.07182057199</v>
      </c>
      <c r="G26" s="105">
        <f t="shared" si="0"/>
        <v>44935.764137015241</v>
      </c>
      <c r="H26" s="105">
        <f>H61*H65/1000000</f>
        <v>60244.609355704917</v>
      </c>
      <c r="I26" s="105">
        <f t="shared" si="0"/>
        <v>80768.915943098604</v>
      </c>
      <c r="J26" s="105">
        <f t="shared" si="0"/>
        <v>108285.50226138312</v>
      </c>
      <c r="K26" s="105">
        <f t="shared" si="0"/>
        <v>145176.51825685953</v>
      </c>
      <c r="L26" s="105">
        <f t="shared" si="0"/>
        <v>194635.67156302967</v>
      </c>
      <c r="M26" s="105">
        <f t="shared" si="0"/>
        <v>260944.71130493309</v>
      </c>
      <c r="N26" s="105">
        <f t="shared" si="0"/>
        <v>349844.10520023463</v>
      </c>
      <c r="O26" s="105">
        <f t="shared" si="0"/>
        <v>469030</v>
      </c>
      <c r="P26" s="13"/>
      <c r="Q26" s="384"/>
      <c r="R26" s="136"/>
      <c r="S26" s="145"/>
      <c r="T26" s="13"/>
      <c r="U26" s="476" t="s">
        <v>184</v>
      </c>
      <c r="V26" s="477"/>
      <c r="W26" s="70"/>
      <c r="X26" s="70"/>
    </row>
    <row r="27" spans="1:24" s="51" customFormat="1">
      <c r="B27" s="95" t="s">
        <v>291</v>
      </c>
      <c r="C27" s="13"/>
      <c r="D27" s="13"/>
      <c r="E27"/>
      <c r="F27" s="105">
        <f>F62*F66/1000000</f>
        <v>32009.334587944279</v>
      </c>
      <c r="G27" s="105">
        <f t="shared" si="0"/>
        <v>40983.900030518635</v>
      </c>
      <c r="H27" s="105">
        <f t="shared" si="0"/>
        <v>52474.694751829229</v>
      </c>
      <c r="I27" s="105">
        <f t="shared" si="0"/>
        <v>67187.202468461823</v>
      </c>
      <c r="J27" s="105">
        <f t="shared" si="0"/>
        <v>86024.705753638002</v>
      </c>
      <c r="K27" s="105">
        <f t="shared" si="0"/>
        <v>110143.74357190618</v>
      </c>
      <c r="L27" s="105">
        <f t="shared" si="0"/>
        <v>141025.11763047526</v>
      </c>
      <c r="M27" s="105">
        <f t="shared" si="0"/>
        <v>180564.80702152327</v>
      </c>
      <c r="N27" s="105">
        <f t="shared" si="0"/>
        <v>231190.37291038121</v>
      </c>
      <c r="O27" s="105">
        <f t="shared" si="0"/>
        <v>296010</v>
      </c>
      <c r="P27" s="13"/>
      <c r="Q27" s="319"/>
      <c r="S27" s="391"/>
      <c r="T27" s="389"/>
      <c r="U27" s="294" t="s">
        <v>186</v>
      </c>
      <c r="V27" s="291" t="s">
        <v>187</v>
      </c>
      <c r="W27" s="70"/>
      <c r="X27" s="70"/>
    </row>
    <row r="28" spans="1:24" s="51" customFormat="1" ht="15" customHeight="1">
      <c r="B28" s="143" t="s">
        <v>295</v>
      </c>
      <c r="C28" s="102"/>
      <c r="D28" s="102"/>
      <c r="E28" s="102"/>
      <c r="F28" s="144"/>
      <c r="G28" s="144"/>
      <c r="H28" s="144"/>
      <c r="I28" s="144"/>
      <c r="J28" s="144"/>
      <c r="K28" s="144"/>
      <c r="L28" s="144"/>
      <c r="M28" s="144"/>
      <c r="N28" s="144"/>
      <c r="O28" s="144"/>
      <c r="P28" s="13"/>
      <c r="Q28" s="319"/>
      <c r="S28" s="391"/>
      <c r="T28" s="389"/>
      <c r="U28" s="295">
        <v>4</v>
      </c>
      <c r="V28" s="292">
        <v>1000000000</v>
      </c>
      <c r="W28" s="70"/>
      <c r="X28" s="70"/>
    </row>
    <row r="29" spans="1:24" s="51" customFormat="1">
      <c r="B29" s="125" t="s">
        <v>290</v>
      </c>
      <c r="C29" s="168"/>
      <c r="D29" s="168"/>
      <c r="E29" s="168"/>
      <c r="F29" s="159">
        <f>F30+$Q$29</f>
        <v>0.23390957762765655</v>
      </c>
      <c r="G29" s="159">
        <f t="shared" ref="G29:O29" si="1">G30+$Q$29</f>
        <v>0.23764742778174461</v>
      </c>
      <c r="H29" s="159">
        <f t="shared" si="1"/>
        <v>0.24145059302798219</v>
      </c>
      <c r="I29" s="159">
        <f t="shared" si="1"/>
        <v>0.2453202146805169</v>
      </c>
      <c r="J29" s="159">
        <f t="shared" si="1"/>
        <v>0.24925745399678881</v>
      </c>
      <c r="K29" s="159">
        <f t="shared" si="1"/>
        <v>0.25326349252601893</v>
      </c>
      <c r="L29" s="159">
        <f t="shared" si="1"/>
        <v>0.25733953246378738</v>
      </c>
      <c r="M29" s="159">
        <f t="shared" si="1"/>
        <v>0.26148679701280708</v>
      </c>
      <c r="N29" s="159">
        <f t="shared" si="1"/>
        <v>0.26570653075000206</v>
      </c>
      <c r="O29" s="159">
        <f t="shared" si="1"/>
        <v>0.27</v>
      </c>
      <c r="P29" s="13"/>
      <c r="Q29" s="385">
        <v>0.02</v>
      </c>
      <c r="R29" s="13"/>
      <c r="S29" s="145"/>
      <c r="T29" s="13"/>
      <c r="U29" s="295">
        <v>3</v>
      </c>
      <c r="V29" s="292">
        <v>10000000000</v>
      </c>
    </row>
    <row r="30" spans="1:24" s="51" customFormat="1">
      <c r="B30" s="95" t="s">
        <v>192</v>
      </c>
      <c r="F30" s="118">
        <f>E15*(1+$R$30)</f>
        <v>0.21390957762765656</v>
      </c>
      <c r="G30" s="118">
        <f>F30*(1+$R$30)</f>
        <v>0.21764742778174462</v>
      </c>
      <c r="H30" s="118">
        <f t="shared" ref="H30:N30" si="2">G30*(1+$R$30)</f>
        <v>0.2214505930279822</v>
      </c>
      <c r="I30" s="118">
        <f t="shared" si="2"/>
        <v>0.22532021468051691</v>
      </c>
      <c r="J30" s="118">
        <f t="shared" si="2"/>
        <v>0.22925745399678882</v>
      </c>
      <c r="K30" s="118">
        <f t="shared" si="2"/>
        <v>0.23326349252601894</v>
      </c>
      <c r="L30" s="118">
        <f t="shared" si="2"/>
        <v>0.23733953246378736</v>
      </c>
      <c r="M30" s="118">
        <f t="shared" si="2"/>
        <v>0.24148679701280706</v>
      </c>
      <c r="N30" s="118">
        <f t="shared" si="2"/>
        <v>0.24570653075000207</v>
      </c>
      <c r="O30" s="170">
        <v>0.25</v>
      </c>
      <c r="P30" s="13"/>
      <c r="Q30" s="386" t="s">
        <v>254</v>
      </c>
      <c r="R30" s="474">
        <f>(O30/E15)^(1/COLUMNS(F30:O30))-1</f>
        <v>1.7473972860599929E-2</v>
      </c>
      <c r="S30" s="475"/>
      <c r="T30" s="382"/>
      <c r="U30" s="295">
        <v>2</v>
      </c>
      <c r="V30" s="292">
        <v>30000000000</v>
      </c>
    </row>
    <row r="31" spans="1:24" s="51" customFormat="1">
      <c r="B31" s="95" t="s">
        <v>291</v>
      </c>
      <c r="C31" s="84"/>
      <c r="D31" s="168"/>
      <c r="E31" s="84"/>
      <c r="F31" s="159">
        <f>F30+$Q$31</f>
        <v>0.19390957762765657</v>
      </c>
      <c r="G31" s="159">
        <f t="shared" ref="G31:O31" si="3">G30+$Q$31</f>
        <v>0.19764742778174463</v>
      </c>
      <c r="H31" s="159">
        <f t="shared" si="3"/>
        <v>0.20145059302798221</v>
      </c>
      <c r="I31" s="159">
        <f t="shared" si="3"/>
        <v>0.20532021468051692</v>
      </c>
      <c r="J31" s="159">
        <f t="shared" si="3"/>
        <v>0.20925745399678883</v>
      </c>
      <c r="K31" s="159">
        <f t="shared" si="3"/>
        <v>0.21326349252601895</v>
      </c>
      <c r="L31" s="159">
        <f t="shared" si="3"/>
        <v>0.21733953246378737</v>
      </c>
      <c r="M31" s="159">
        <f t="shared" si="3"/>
        <v>0.22148679701280707</v>
      </c>
      <c r="N31" s="159">
        <f t="shared" si="3"/>
        <v>0.22570653075000208</v>
      </c>
      <c r="O31" s="159">
        <f t="shared" si="3"/>
        <v>0.23</v>
      </c>
      <c r="P31" s="13"/>
      <c r="Q31" s="385">
        <v>-0.02</v>
      </c>
      <c r="R31" s="13"/>
      <c r="S31" s="145"/>
      <c r="T31" s="13"/>
      <c r="U31" s="295">
        <v>1</v>
      </c>
      <c r="V31" s="292">
        <v>100000000000</v>
      </c>
    </row>
    <row r="32" spans="1:24" s="136" customFormat="1" ht="15" customHeight="1">
      <c r="B32" s="143" t="s">
        <v>296</v>
      </c>
      <c r="C32" s="102"/>
      <c r="D32" s="102"/>
      <c r="E32" s="102"/>
      <c r="F32" s="102"/>
      <c r="G32" s="102"/>
      <c r="H32" s="102"/>
      <c r="I32" s="102"/>
      <c r="J32" s="102"/>
      <c r="K32" s="102"/>
      <c r="L32" s="102"/>
      <c r="M32" s="102"/>
      <c r="N32" s="102"/>
      <c r="O32" s="102"/>
      <c r="P32" s="13"/>
      <c r="Q32" s="384"/>
      <c r="S32" s="145"/>
      <c r="T32" s="13"/>
      <c r="U32" s="295">
        <v>0.75</v>
      </c>
      <c r="V32" s="292">
        <v>250000000000</v>
      </c>
    </row>
    <row r="33" spans="2:24" s="136" customFormat="1">
      <c r="B33" s="125" t="s">
        <v>290</v>
      </c>
      <c r="C33" s="13"/>
      <c r="D33" s="13"/>
      <c r="E33" s="13"/>
      <c r="F33"/>
      <c r="G33" s="80">
        <f>G68*G80*$V$15/1000000</f>
        <v>3623.1410497287611</v>
      </c>
      <c r="H33" s="80">
        <f t="shared" ref="H33:O33" si="4">H68*H80*$V$15/1000000</f>
        <v>8479.9397934740555</v>
      </c>
      <c r="I33" s="80">
        <f t="shared" si="4"/>
        <v>15454.812477264724</v>
      </c>
      <c r="J33" s="80">
        <f t="shared" si="4"/>
        <v>25891.426632661263</v>
      </c>
      <c r="K33" s="80">
        <f t="shared" si="4"/>
        <v>41862.425401004715</v>
      </c>
      <c r="L33" s="80">
        <f t="shared" si="4"/>
        <v>65584.5404996289</v>
      </c>
      <c r="M33" s="80">
        <f t="shared" si="4"/>
        <v>101971.2939366717</v>
      </c>
      <c r="N33" s="80">
        <f t="shared" si="4"/>
        <v>158551.23479066152</v>
      </c>
      <c r="O33" s="80">
        <f t="shared" si="4"/>
        <v>246999.71765768636</v>
      </c>
      <c r="P33" s="13"/>
      <c r="Q33" s="384"/>
      <c r="S33" s="145"/>
      <c r="T33" s="13"/>
      <c r="U33" s="296">
        <v>0.5</v>
      </c>
      <c r="V33" s="292">
        <v>1000000000000</v>
      </c>
    </row>
    <row r="34" spans="2:24" s="136" customFormat="1">
      <c r="B34" s="95" t="s">
        <v>192</v>
      </c>
      <c r="C34" s="13"/>
      <c r="D34" s="13"/>
      <c r="F34"/>
      <c r="G34" s="80">
        <f>G69*G81*$V$15/1000000</f>
        <v>0</v>
      </c>
      <c r="H34" s="80">
        <f>H69*H81*$V$15/1000000</f>
        <v>4017.4637225159977</v>
      </c>
      <c r="I34" s="80">
        <f t="shared" ref="I34:O34" si="5">I69*I81*$V$15/1000000</f>
        <v>9394.1144965066633</v>
      </c>
      <c r="J34" s="80">
        <f t="shared" si="5"/>
        <v>17101.629195496</v>
      </c>
      <c r="K34" s="80">
        <f t="shared" si="5"/>
        <v>28613.586683766891</v>
      </c>
      <c r="L34" s="80">
        <f t="shared" si="5"/>
        <v>46199.065738330944</v>
      </c>
      <c r="M34" s="80">
        <f t="shared" si="5"/>
        <v>72262.320077787546</v>
      </c>
      <c r="N34" s="80">
        <f t="shared" si="5"/>
        <v>112164.28978460476</v>
      </c>
      <c r="O34" s="80">
        <f t="shared" si="5"/>
        <v>174102.74409149648</v>
      </c>
      <c r="P34" s="13"/>
      <c r="Q34" s="384"/>
      <c r="S34" s="145"/>
      <c r="T34" s="13"/>
      <c r="U34" s="297">
        <v>0.25</v>
      </c>
      <c r="V34" s="293">
        <v>15000000000000</v>
      </c>
      <c r="W34" s="70"/>
      <c r="X34" s="70"/>
    </row>
    <row r="35" spans="2:24" s="136" customFormat="1">
      <c r="B35" s="95" t="s">
        <v>291</v>
      </c>
      <c r="C35" s="13"/>
      <c r="D35" s="13"/>
      <c r="F35"/>
      <c r="G35" s="80">
        <f t="shared" ref="G35:J35" si="6">G70*G82*$V$15/1000000</f>
        <v>0</v>
      </c>
      <c r="H35" s="80">
        <f t="shared" si="6"/>
        <v>0</v>
      </c>
      <c r="I35" s="80">
        <f t="shared" si="6"/>
        <v>0</v>
      </c>
      <c r="J35" s="80">
        <f t="shared" si="6"/>
        <v>9000.110999315506</v>
      </c>
      <c r="K35" s="80">
        <f>K70*K82*$V$15/1000000</f>
        <v>19366.269488450245</v>
      </c>
      <c r="L35" s="80">
        <f t="shared" ref="L35:O35" si="7">L70*L82*$V$15/1000000</f>
        <v>32363.50432980503</v>
      </c>
      <c r="M35" s="80">
        <f t="shared" si="7"/>
        <v>49609.389182553328</v>
      </c>
      <c r="N35" s="80">
        <f>N70*N82*$V$15/1000000</f>
        <v>73276.217730202014</v>
      </c>
      <c r="O35" s="80">
        <f t="shared" si="7"/>
        <v>104565.27399220629</v>
      </c>
      <c r="P35" s="13"/>
      <c r="Q35" s="387"/>
      <c r="S35" s="391"/>
      <c r="T35" s="389"/>
      <c r="W35" s="70"/>
      <c r="X35" s="70"/>
    </row>
    <row r="36" spans="2:24" s="136" customFormat="1" ht="15" customHeight="1">
      <c r="B36" s="143" t="s">
        <v>310</v>
      </c>
      <c r="C36" s="102"/>
      <c r="D36" s="102"/>
      <c r="E36" s="102"/>
      <c r="F36" s="144"/>
      <c r="G36" s="144"/>
      <c r="H36" s="144"/>
      <c r="I36" s="144"/>
      <c r="J36" s="144"/>
      <c r="K36" s="144"/>
      <c r="L36" s="144"/>
      <c r="M36" s="144"/>
      <c r="N36" s="144"/>
      <c r="O36" s="144"/>
      <c r="P36" s="13"/>
      <c r="Q36" s="387"/>
      <c r="S36" s="391"/>
      <c r="T36" s="389"/>
      <c r="W36" s="70"/>
      <c r="X36" s="70"/>
    </row>
    <row r="37" spans="2:24" s="136" customFormat="1">
      <c r="B37" s="125" t="s">
        <v>290</v>
      </c>
      <c r="C37" s="168"/>
      <c r="D37" s="168"/>
      <c r="E37" s="168"/>
      <c r="F37" s="80">
        <f>(F60*(1-F76)*F85*F88+F60*F76*F85)/1000000</f>
        <v>2169.188324387887</v>
      </c>
      <c r="G37" s="80">
        <f t="shared" ref="F37:N39" si="8">(G60*(1-G76)*G84*G88+G60*G76*G84)/1000000</f>
        <v>3723.6729739594234</v>
      </c>
      <c r="H37" s="80">
        <f t="shared" si="8"/>
        <v>6109.2514753990072</v>
      </c>
      <c r="I37" s="80">
        <f t="shared" si="8"/>
        <v>10066.10082512736</v>
      </c>
      <c r="J37" s="80">
        <f t="shared" si="8"/>
        <v>16670.626965435269</v>
      </c>
      <c r="K37" s="80">
        <f t="shared" si="8"/>
        <v>27774.278879661892</v>
      </c>
      <c r="L37" s="80">
        <f t="shared" si="8"/>
        <v>46592.578076743303</v>
      </c>
      <c r="M37" s="80">
        <f t="shared" si="8"/>
        <v>78763.323097180735</v>
      </c>
      <c r="N37" s="80">
        <f t="shared" si="8"/>
        <v>134257.59900789967</v>
      </c>
      <c r="O37" s="80">
        <f>(O60*(1-O76)*O84*O88+O60*O76*O84)/1000000</f>
        <v>230837.87468799998</v>
      </c>
      <c r="P37" s="13"/>
      <c r="Q37" s="387"/>
      <c r="R37"/>
      <c r="S37" s="391"/>
      <c r="T37" s="13"/>
    </row>
    <row r="38" spans="2:24" s="136" customFormat="1" ht="15" customHeight="1">
      <c r="B38" s="95" t="s">
        <v>192</v>
      </c>
      <c r="F38" s="80">
        <f t="shared" si="8"/>
        <v>2090.0969384426526</v>
      </c>
      <c r="G38" s="80">
        <f t="shared" si="8"/>
        <v>3121.4769291419057</v>
      </c>
      <c r="H38" s="80">
        <f t="shared" si="8"/>
        <v>4959.2582602563298</v>
      </c>
      <c r="I38" s="80">
        <f t="shared" si="8"/>
        <v>7576.5712398840042</v>
      </c>
      <c r="J38" s="80">
        <f t="shared" si="8"/>
        <v>11665.704838004474</v>
      </c>
      <c r="K38" s="80">
        <f t="shared" si="8"/>
        <v>18143.319546924766</v>
      </c>
      <c r="L38" s="80">
        <f t="shared" si="8"/>
        <v>28578.629704773484</v>
      </c>
      <c r="M38" s="80">
        <f t="shared" si="8"/>
        <v>45724.992966477104</v>
      </c>
      <c r="N38" s="80">
        <f t="shared" si="8"/>
        <v>74531.993674825106</v>
      </c>
      <c r="O38" s="80">
        <f>(O61*(1-O77)*O85*O89+O61*O77*O85)/1000000</f>
        <v>124100.7773500227</v>
      </c>
      <c r="P38" s="13"/>
      <c r="Q38" s="387"/>
      <c r="R38"/>
      <c r="S38" s="391"/>
      <c r="T38" s="13"/>
    </row>
    <row r="39" spans="2:24" s="136" customFormat="1">
      <c r="B39" s="95" t="s">
        <v>291</v>
      </c>
      <c r="C39" s="84"/>
      <c r="D39" s="168"/>
      <c r="E39" s="84"/>
      <c r="F39" s="80">
        <f>(F62*(1-F78)*F85*F90+F62*F78*F85)/1000000</f>
        <v>1968.8763224251666</v>
      </c>
      <c r="G39" s="80">
        <f t="shared" si="8"/>
        <v>2584.3159820042997</v>
      </c>
      <c r="H39" s="80">
        <f t="shared" si="8"/>
        <v>3392.1323644221407</v>
      </c>
      <c r="I39" s="80">
        <f>(I62*(1-I78)*I86*I90+I62*I78*I86)/1000000</f>
        <v>4452.4593965619006</v>
      </c>
      <c r="J39" s="80">
        <f>(J62*(1-J78)*J86*J90+J62*J78*J86)/1000000</f>
        <v>6455.4604340937303</v>
      </c>
      <c r="K39" s="80">
        <f t="shared" ref="K39:O39" si="9">(K62*(1-K78)*K86*K90+K62*K78*K86)/1000000</f>
        <v>8908.5294635185892</v>
      </c>
      <c r="L39" s="80">
        <f t="shared" si="9"/>
        <v>12573.754860294564</v>
      </c>
      <c r="M39" s="80">
        <f t="shared" si="9"/>
        <v>18285.475857734542</v>
      </c>
      <c r="N39" s="80">
        <f t="shared" si="9"/>
        <v>27604.249768796264</v>
      </c>
      <c r="O39" s="80">
        <f t="shared" si="9"/>
        <v>43519.162499999999</v>
      </c>
      <c r="P39" s="13"/>
      <c r="Q39" s="387"/>
      <c r="R39"/>
      <c r="S39" s="145"/>
      <c r="T39" s="13"/>
    </row>
    <row r="40" spans="2:24" s="136" customFormat="1" ht="15" customHeight="1">
      <c r="B40" s="143" t="s">
        <v>297</v>
      </c>
      <c r="C40" s="102"/>
      <c r="D40" s="102"/>
      <c r="E40" s="102"/>
      <c r="F40" s="144"/>
      <c r="G40" s="144"/>
      <c r="H40" s="144"/>
      <c r="I40" s="144"/>
      <c r="J40" s="144"/>
      <c r="K40" s="144"/>
      <c r="L40" s="144"/>
      <c r="M40" s="144"/>
      <c r="N40" s="144"/>
      <c r="O40" s="144"/>
      <c r="P40" s="13"/>
      <c r="Q40" s="387"/>
      <c r="S40" s="391"/>
      <c r="T40" s="389"/>
      <c r="W40" s="70"/>
      <c r="X40" s="70"/>
    </row>
    <row r="41" spans="2:24" s="136" customFormat="1">
      <c r="B41" s="125" t="s">
        <v>290</v>
      </c>
      <c r="C41" s="168"/>
      <c r="D41" s="168"/>
      <c r="E41" s="168"/>
      <c r="F41" s="80">
        <f>(F92*F95+F101*F97)/1000000</f>
        <v>3822.8253069623652</v>
      </c>
      <c r="G41" s="80">
        <f t="shared" ref="G41:O41" si="10">(G92*G95+G101*G97)/1000000</f>
        <v>6164.7188537406546</v>
      </c>
      <c r="H41" s="80">
        <f t="shared" si="10"/>
        <v>10154.385822602031</v>
      </c>
      <c r="I41" s="80">
        <f t="shared" si="10"/>
        <v>17042.046684726545</v>
      </c>
      <c r="J41" s="80">
        <f t="shared" si="10"/>
        <v>29060.215388441888</v>
      </c>
      <c r="K41" s="80">
        <f t="shared" si="10"/>
        <v>50207.084634319814</v>
      </c>
      <c r="L41" s="80">
        <f t="shared" si="10"/>
        <v>87658.521301433808</v>
      </c>
      <c r="M41" s="80">
        <f t="shared" si="10"/>
        <v>154314.34862845347</v>
      </c>
      <c r="N41" s="80">
        <f t="shared" si="10"/>
        <v>273391.78695813665</v>
      </c>
      <c r="O41" s="80">
        <f t="shared" si="10"/>
        <v>486714.14662057295</v>
      </c>
      <c r="P41" s="13"/>
      <c r="Q41" s="387"/>
      <c r="S41" s="145"/>
      <c r="T41" s="13"/>
    </row>
    <row r="42" spans="2:24" s="136" customFormat="1" ht="15" customHeight="1">
      <c r="B42" s="95" t="s">
        <v>192</v>
      </c>
      <c r="F42" s="80">
        <f>(F93*$F$95+F102*F98)/1000000</f>
        <v>3781.4551579448357</v>
      </c>
      <c r="G42" s="80">
        <f t="shared" ref="G42:O42" si="11">(G93*G95+G102*G98)/1000000</f>
        <v>6008.0517943568293</v>
      </c>
      <c r="H42" s="80">
        <f t="shared" si="11"/>
        <v>9773.43900932613</v>
      </c>
      <c r="I42" s="80">
        <f t="shared" si="11"/>
        <v>16230.331040208488</v>
      </c>
      <c r="J42" s="80">
        <f t="shared" si="11"/>
        <v>27424.756080852712</v>
      </c>
      <c r="K42" s="80">
        <f t="shared" si="11"/>
        <v>46997.528907539752</v>
      </c>
      <c r="L42" s="80">
        <f t="shared" si="11"/>
        <v>81439.288701941594</v>
      </c>
      <c r="M42" s="80">
        <f t="shared" si="11"/>
        <v>142336.75056166004</v>
      </c>
      <c r="N42" s="80">
        <f t="shared" si="11"/>
        <v>250394.05912165646</v>
      </c>
      <c r="O42" s="80">
        <f t="shared" si="11"/>
        <v>442633.36453011422</v>
      </c>
      <c r="P42" s="13"/>
      <c r="Q42" s="387"/>
      <c r="S42" s="145"/>
      <c r="T42" s="13"/>
    </row>
    <row r="43" spans="2:24" s="136" customFormat="1">
      <c r="B43" s="95" t="s">
        <v>291</v>
      </c>
      <c r="C43" s="84"/>
      <c r="D43" s="168"/>
      <c r="E43" s="84"/>
      <c r="F43" s="80">
        <f>(F94*F95+F103*F99)/1000000</f>
        <v>3731.8380053583328</v>
      </c>
      <c r="G43" s="80">
        <f t="shared" ref="G43:O43" si="12">(G94*G95+G103*G99)/1000000</f>
        <v>5809.2568603667669</v>
      </c>
      <c r="H43" s="80">
        <f t="shared" si="12"/>
        <v>9286.2445003448065</v>
      </c>
      <c r="I43" s="80">
        <f t="shared" si="12"/>
        <v>15190.080737430035</v>
      </c>
      <c r="J43" s="80">
        <f t="shared" si="12"/>
        <v>25326.265744374261</v>
      </c>
      <c r="K43" s="80">
        <f t="shared" si="12"/>
        <v>42874.434375626937</v>
      </c>
      <c r="L43" s="80">
        <f t="shared" si="12"/>
        <v>73442.210452955769</v>
      </c>
      <c r="M43" s="80">
        <f t="shared" si="12"/>
        <v>126929.32228577309</v>
      </c>
      <c r="N43" s="80">
        <f t="shared" si="12"/>
        <v>220825.46609800987</v>
      </c>
      <c r="O43" s="80">
        <f t="shared" si="12"/>
        <v>386045.29879710206</v>
      </c>
      <c r="P43" s="13"/>
      <c r="Q43" s="387"/>
      <c r="S43" s="145"/>
      <c r="T43" s="13"/>
    </row>
    <row r="44" spans="2:24" s="136" customFormat="1">
      <c r="B44" s="143" t="s">
        <v>318</v>
      </c>
      <c r="C44" s="84"/>
      <c r="D44" s="168"/>
      <c r="E44" s="84"/>
      <c r="F44" s="80"/>
      <c r="G44" s="80"/>
      <c r="H44" s="80"/>
      <c r="I44" s="80"/>
      <c r="J44" s="80"/>
      <c r="K44" s="80"/>
      <c r="L44" s="80"/>
      <c r="M44" s="80"/>
      <c r="N44" s="80"/>
      <c r="O44" s="80"/>
      <c r="P44" s="13"/>
      <c r="Q44" s="387"/>
      <c r="S44" s="145"/>
      <c r="T44" s="13"/>
    </row>
    <row r="45" spans="2:24" s="136" customFormat="1">
      <c r="B45" s="125" t="s">
        <v>290</v>
      </c>
      <c r="C45" s="84"/>
      <c r="D45" s="168"/>
      <c r="E45" s="84"/>
      <c r="F45" s="84">
        <f>(V22*F95*F92+F97*F101*F105)/(F95*F92+F97*F101)</f>
        <v>8.3959494490025446E-2</v>
      </c>
      <c r="G45" s="84">
        <f t="shared" ref="G45:O45" si="13">(W25*G95*G92+G97*G101*G105)/(G95*G92+G97*G101)</f>
        <v>7.4263109195891838E-2</v>
      </c>
      <c r="H45" s="84">
        <f t="shared" si="13"/>
        <v>9.0139892048196613E-2</v>
      </c>
      <c r="I45" s="84">
        <f t="shared" si="13"/>
        <v>0.10738243180401441</v>
      </c>
      <c r="J45" s="84">
        <f t="shared" si="13"/>
        <v>0.12590426668535104</v>
      </c>
      <c r="K45" s="84">
        <f t="shared" si="13"/>
        <v>0.14569966860340186</v>
      </c>
      <c r="L45" s="84">
        <f t="shared" si="13"/>
        <v>0.16684520076172613</v>
      </c>
      <c r="M45" s="84">
        <f t="shared" si="13"/>
        <v>0.18948980131344095</v>
      </c>
      <c r="N45" s="84">
        <f t="shared" si="13"/>
        <v>0.21384100063399888</v>
      </c>
      <c r="O45" s="84">
        <f t="shared" si="13"/>
        <v>0.2401523072212233</v>
      </c>
      <c r="P45" s="13"/>
      <c r="Q45" s="387"/>
      <c r="S45" s="145"/>
      <c r="T45" s="13"/>
    </row>
    <row r="46" spans="2:24" s="136" customFormat="1">
      <c r="B46" s="95" t="s">
        <v>192</v>
      </c>
      <c r="C46" s="84"/>
      <c r="D46" s="168"/>
      <c r="E46" s="84"/>
      <c r="F46" s="84">
        <f>(V22*$F$95*F93+F98*F102*F106)/($F$95*F93+F98*F102)</f>
        <v>8.3784006992343521E-2</v>
      </c>
      <c r="G46" s="84">
        <f t="shared" ref="G46:O46" si="14">(W25*G95*G93+G98*G102*G106)/(G95*G93+G98*G102)</f>
        <v>7.156800027200666E-2</v>
      </c>
      <c r="H46" s="84">
        <f t="shared" si="14"/>
        <v>8.4134420268588889E-2</v>
      </c>
      <c r="I46" s="84">
        <f t="shared" si="14"/>
        <v>9.6886283937433523E-2</v>
      </c>
      <c r="J46" s="84">
        <f t="shared" si="14"/>
        <v>0.10965172455682626</v>
      </c>
      <c r="K46" s="84">
        <f t="shared" si="14"/>
        <v>0.12236346868038782</v>
      </c>
      <c r="L46" s="84">
        <f t="shared" si="14"/>
        <v>0.13503967828247135</v>
      </c>
      <c r="M46" s="84">
        <f t="shared" si="14"/>
        <v>0.14775659781997239</v>
      </c>
      <c r="N46" s="84">
        <f t="shared" si="14"/>
        <v>0.16062327340694188</v>
      </c>
      <c r="O46" s="84">
        <f t="shared" si="14"/>
        <v>0.17376284125837421</v>
      </c>
      <c r="P46" s="13"/>
      <c r="Q46" s="387"/>
      <c r="S46" s="145"/>
      <c r="T46" s="13"/>
    </row>
    <row r="47" spans="2:24" s="136" customFormat="1">
      <c r="B47" s="95" t="s">
        <v>291</v>
      </c>
      <c r="C47" s="84"/>
      <c r="D47" s="168"/>
      <c r="E47" s="84"/>
      <c r="F47" s="84">
        <f>(V22*F95*F94+F99*F103*F107)/(F95*F94+F99*F103)</f>
        <v>8.356840508297679E-2</v>
      </c>
      <c r="G47" s="84">
        <f t="shared" ref="G47:O47" si="15">(W25*G95*G94+G99*G103*G107)/(G95*G94+G99*G103)</f>
        <v>6.7700934398625706E-2</v>
      </c>
      <c r="H47" s="84">
        <f t="shared" si="15"/>
        <v>7.5752572292434248E-2</v>
      </c>
      <c r="I47" s="84">
        <f t="shared" si="15"/>
        <v>8.2832290902299127E-2</v>
      </c>
      <c r="J47" s="84">
        <f t="shared" si="15"/>
        <v>8.8860929533812263E-2</v>
      </c>
      <c r="K47" s="84">
        <f t="shared" si="15"/>
        <v>9.3887086912677831E-2</v>
      </c>
      <c r="L47" s="84">
        <f t="shared" si="15"/>
        <v>9.8034916763793695E-2</v>
      </c>
      <c r="M47" s="84">
        <f t="shared" si="15"/>
        <v>0.10145812201793915</v>
      </c>
      <c r="N47" s="84">
        <f t="shared" si="15"/>
        <v>0.10430902383237788</v>
      </c>
      <c r="O47" s="84">
        <f t="shared" si="15"/>
        <v>0.10672226287922218</v>
      </c>
      <c r="P47" s="13"/>
      <c r="Q47" s="387"/>
      <c r="R47" s="13"/>
      <c r="S47" s="392"/>
      <c r="T47" s="13"/>
    </row>
    <row r="48" spans="2:24" s="51" customFormat="1" ht="15.75" thickBot="1">
      <c r="B48" s="79" t="s">
        <v>210</v>
      </c>
      <c r="C48" s="13"/>
      <c r="E48" s="13"/>
      <c r="F48"/>
      <c r="G48"/>
      <c r="H48"/>
      <c r="I48"/>
      <c r="J48"/>
      <c r="K48"/>
      <c r="L48"/>
      <c r="M48"/>
      <c r="N48"/>
      <c r="O48"/>
      <c r="P48" s="13"/>
      <c r="Q48" s="417"/>
      <c r="R48" s="416" t="s">
        <v>288</v>
      </c>
      <c r="S48" s="388" t="s">
        <v>289</v>
      </c>
      <c r="T48" s="136"/>
    </row>
    <row r="49" spans="2:20" s="51" customFormat="1">
      <c r="B49" s="95" t="s">
        <v>290</v>
      </c>
      <c r="C49" s="13"/>
      <c r="E49" s="13"/>
      <c r="F49" s="84">
        <f>F50+$Q$49</f>
        <v>3.4414416736737861E-2</v>
      </c>
      <c r="G49" s="84">
        <f t="shared" ref="G49:O49" si="16">G50+$Q$49</f>
        <v>2.7857852203785515E-2</v>
      </c>
      <c r="H49" s="84">
        <f t="shared" si="16"/>
        <v>2.2391968239872252E-2</v>
      </c>
      <c r="I49" s="84">
        <f t="shared" si="16"/>
        <v>1.7835330787924316E-2</v>
      </c>
      <c r="J49" s="84">
        <f t="shared" si="16"/>
        <v>1.4036687237205851E-2</v>
      </c>
      <c r="K49" s="84">
        <f t="shared" si="16"/>
        <v>1.2453316497533951E-2</v>
      </c>
      <c r="L49" s="84">
        <f t="shared" si="16"/>
        <v>1.1001642143268292E-2</v>
      </c>
      <c r="M49" s="84">
        <f t="shared" si="16"/>
        <v>9.6707103671327191E-3</v>
      </c>
      <c r="N49" s="84">
        <f t="shared" si="16"/>
        <v>8.4504784414792186E-3</v>
      </c>
      <c r="O49" s="84">
        <f t="shared" si="16"/>
        <v>7.3317389395136526E-3</v>
      </c>
      <c r="P49" s="13"/>
      <c r="Q49" s="147">
        <v>-5.0000000000000001E-3</v>
      </c>
      <c r="R49" s="145"/>
      <c r="S49" s="145"/>
      <c r="T49" s="136"/>
    </row>
    <row r="50" spans="2:20" s="51" customFormat="1">
      <c r="B50" s="95" t="s">
        <v>192</v>
      </c>
      <c r="C50" s="13"/>
      <c r="E50" s="13"/>
      <c r="F50" s="84">
        <f>E21*(1+$R$50)</f>
        <v>3.9414416736737859E-2</v>
      </c>
      <c r="G50" s="84">
        <f>F50*(1+$R$50)</f>
        <v>3.2857852203785516E-2</v>
      </c>
      <c r="H50" s="84">
        <f t="shared" ref="H50:J50" si="17">G50*(1+$R$50)</f>
        <v>2.7391968239872253E-2</v>
      </c>
      <c r="I50" s="84">
        <f t="shared" si="17"/>
        <v>2.2835330787924317E-2</v>
      </c>
      <c r="J50" s="84">
        <f t="shared" si="17"/>
        <v>1.9036687237205852E-2</v>
      </c>
      <c r="K50" s="84">
        <f>J50*(1+$S$50)</f>
        <v>1.7453316497533952E-2</v>
      </c>
      <c r="L50" s="84">
        <f t="shared" ref="L50:O50" si="18">K50*(1+$S$50)</f>
        <v>1.6001642143268293E-2</v>
      </c>
      <c r="M50" s="84">
        <f t="shared" si="18"/>
        <v>1.467071036713272E-2</v>
      </c>
      <c r="N50" s="84">
        <f t="shared" si="18"/>
        <v>1.3450478441479218E-2</v>
      </c>
      <c r="O50" s="84">
        <f t="shared" si="18"/>
        <v>1.2331738939513653E-2</v>
      </c>
      <c r="P50" s="13"/>
      <c r="Q50" s="214" t="s">
        <v>254</v>
      </c>
      <c r="R50" s="148">
        <f>(E21/C21)^(1/COLUMNS(D21:E21))-1</f>
        <v>-0.16634939892034528</v>
      </c>
      <c r="S50" s="148">
        <f>R50*0.5</f>
        <v>-8.3174699460172641E-2</v>
      </c>
      <c r="T50" s="136"/>
    </row>
    <row r="51" spans="2:20" s="51" customFormat="1">
      <c r="B51" s="95" t="s">
        <v>291</v>
      </c>
      <c r="C51" s="13"/>
      <c r="E51" s="13"/>
      <c r="F51" s="84">
        <f>F50+$Q$51</f>
        <v>4.4414416736737856E-2</v>
      </c>
      <c r="G51" s="84">
        <f t="shared" ref="G51:O51" si="19">G50+$Q$51</f>
        <v>3.7857852203785514E-2</v>
      </c>
      <c r="H51" s="84">
        <f t="shared" si="19"/>
        <v>3.2391968239872254E-2</v>
      </c>
      <c r="I51" s="84">
        <f t="shared" si="19"/>
        <v>2.7835330787924318E-2</v>
      </c>
      <c r="J51" s="84">
        <f t="shared" si="19"/>
        <v>2.4036687237205853E-2</v>
      </c>
      <c r="K51" s="84">
        <f t="shared" si="19"/>
        <v>2.2453316497533952E-2</v>
      </c>
      <c r="L51" s="84">
        <f t="shared" si="19"/>
        <v>2.1001642143268294E-2</v>
      </c>
      <c r="M51" s="84">
        <f t="shared" si="19"/>
        <v>1.9670710367132721E-2</v>
      </c>
      <c r="N51" s="84">
        <f t="shared" si="19"/>
        <v>1.8450478441479217E-2</v>
      </c>
      <c r="O51" s="84">
        <f t="shared" si="19"/>
        <v>1.7331738939513654E-2</v>
      </c>
      <c r="P51" s="13"/>
      <c r="Q51" s="147">
        <v>5.0000000000000001E-3</v>
      </c>
      <c r="R51" s="149"/>
      <c r="S51" s="149"/>
      <c r="T51" s="136"/>
    </row>
    <row r="52" spans="2:20" s="51" customFormat="1">
      <c r="B52" s="79" t="s">
        <v>211</v>
      </c>
      <c r="C52" s="13"/>
      <c r="E52" s="13"/>
      <c r="F52" s="84"/>
      <c r="G52" s="84"/>
      <c r="H52" s="84"/>
      <c r="I52" s="84"/>
      <c r="J52" s="84"/>
      <c r="K52" s="84"/>
      <c r="L52" s="84"/>
      <c r="M52" s="84"/>
      <c r="N52" s="84"/>
      <c r="O52" s="84"/>
      <c r="P52" s="13"/>
      <c r="Q52" s="215"/>
      <c r="R52" s="149"/>
      <c r="S52" s="149"/>
      <c r="T52" s="136"/>
    </row>
    <row r="53" spans="2:20" s="51" customFormat="1">
      <c r="B53" s="95" t="s">
        <v>290</v>
      </c>
      <c r="C53" s="13"/>
      <c r="E53" s="13"/>
      <c r="F53" s="84">
        <f>F54+$Q$53</f>
        <v>7.3433335182719647E-2</v>
      </c>
      <c r="G53" s="84">
        <f t="shared" ref="G53:O53" si="20">G54+$Q$53</f>
        <v>6.2360684339793443E-2</v>
      </c>
      <c r="H53" s="84">
        <f t="shared" si="20"/>
        <v>5.2674429208801346E-2</v>
      </c>
      <c r="I53" s="84">
        <f t="shared" si="20"/>
        <v>4.4200980547443966E-2</v>
      </c>
      <c r="J53" s="84">
        <f t="shared" si="20"/>
        <v>3.6788484051565977E-2</v>
      </c>
      <c r="K53" s="84">
        <f t="shared" si="20"/>
        <v>3.354629149825665E-2</v>
      </c>
      <c r="L53" s="84">
        <f t="shared" si="20"/>
        <v>3.0507074813912086E-2</v>
      </c>
      <c r="M53" s="84">
        <f t="shared" si="20"/>
        <v>2.765812679416222E-2</v>
      </c>
      <c r="N53" s="84">
        <f t="shared" si="20"/>
        <v>2.4987535762911989E-2</v>
      </c>
      <c r="O53" s="84">
        <f t="shared" si="20"/>
        <v>2.2484135768685215E-2</v>
      </c>
      <c r="P53" s="13"/>
      <c r="Q53" s="147">
        <v>-1.4999999999999999E-2</v>
      </c>
      <c r="R53" s="149"/>
      <c r="S53" s="149"/>
      <c r="T53" s="136"/>
    </row>
    <row r="54" spans="2:20" s="51" customFormat="1">
      <c r="B54" s="95" t="s">
        <v>192</v>
      </c>
      <c r="C54" s="13"/>
      <c r="E54" s="13"/>
      <c r="F54" s="84">
        <f>E22*(1+$R$54)</f>
        <v>8.8433335182719647E-2</v>
      </c>
      <c r="G54" s="84">
        <f>F54*(1+$R$54)</f>
        <v>7.7360684339793442E-2</v>
      </c>
      <c r="H54" s="84">
        <f t="shared" ref="H54:J54" si="21">G54*(1+$R$54)</f>
        <v>6.7674429208801345E-2</v>
      </c>
      <c r="I54" s="84">
        <f t="shared" si="21"/>
        <v>5.9200980547443965E-2</v>
      </c>
      <c r="J54" s="84">
        <f t="shared" si="21"/>
        <v>5.1788484051565976E-2</v>
      </c>
      <c r="K54" s="84">
        <f>J54*(1+$S$54)</f>
        <v>4.854629149825665E-2</v>
      </c>
      <c r="L54" s="84">
        <f t="shared" ref="L54:O54" si="22">K54*(1+$S$54)</f>
        <v>4.5507074813912085E-2</v>
      </c>
      <c r="M54" s="84">
        <f t="shared" si="22"/>
        <v>4.265812679416222E-2</v>
      </c>
      <c r="N54" s="84">
        <f t="shared" si="22"/>
        <v>3.9987535762911988E-2</v>
      </c>
      <c r="O54" s="84">
        <f t="shared" si="22"/>
        <v>3.7484135768685214E-2</v>
      </c>
      <c r="P54" s="13"/>
      <c r="Q54" s="386" t="s">
        <v>254</v>
      </c>
      <c r="R54" s="415">
        <f>(E22/C22)^(1/COLUMNS(D22:E22))-1</f>
        <v>-0.12520901558273312</v>
      </c>
      <c r="S54" s="148">
        <f>R54*0.5</f>
        <v>-6.2604507791366559E-2</v>
      </c>
      <c r="T54" s="13"/>
    </row>
    <row r="55" spans="2:20" s="51" customFormat="1">
      <c r="B55" s="95" t="s">
        <v>291</v>
      </c>
      <c r="D55" s="13"/>
      <c r="E55"/>
      <c r="F55" s="84">
        <f>F54+$Q$55</f>
        <v>0.10343333518271965</v>
      </c>
      <c r="G55" s="84">
        <f t="shared" ref="G55:O55" si="23">G54+$Q$55</f>
        <v>9.2360684339793442E-2</v>
      </c>
      <c r="H55" s="84">
        <f t="shared" si="23"/>
        <v>8.2674429208801345E-2</v>
      </c>
      <c r="I55" s="84">
        <f t="shared" si="23"/>
        <v>7.4200980547443965E-2</v>
      </c>
      <c r="J55" s="84">
        <f t="shared" si="23"/>
        <v>6.6788484051565983E-2</v>
      </c>
      <c r="K55" s="84">
        <f t="shared" si="23"/>
        <v>6.3546291498256649E-2</v>
      </c>
      <c r="L55" s="84">
        <f t="shared" si="23"/>
        <v>6.0507074813912085E-2</v>
      </c>
      <c r="M55" s="84">
        <f t="shared" si="23"/>
        <v>5.7658126794162219E-2</v>
      </c>
      <c r="N55" s="84">
        <f t="shared" si="23"/>
        <v>5.4987535762911988E-2</v>
      </c>
      <c r="O55" s="84">
        <f t="shared" si="23"/>
        <v>5.2484135768685214E-2</v>
      </c>
      <c r="P55" s="13"/>
      <c r="Q55" s="418">
        <v>1.4999999999999999E-2</v>
      </c>
      <c r="R55" s="150"/>
      <c r="S55" s="150"/>
      <c r="T55" s="13"/>
    </row>
    <row r="56" spans="2:20" s="51" customFormat="1">
      <c r="F56" s="84"/>
      <c r="G56" s="84"/>
      <c r="H56" s="84"/>
      <c r="I56" s="84"/>
      <c r="J56" s="84"/>
      <c r="K56" s="84"/>
      <c r="L56" s="84"/>
      <c r="M56" s="84"/>
      <c r="N56" s="84"/>
      <c r="O56" s="84"/>
      <c r="P56" s="13"/>
      <c r="Q56" s="319"/>
      <c r="R56" s="13"/>
      <c r="S56" s="145"/>
      <c r="T56" s="13"/>
    </row>
    <row r="57" spans="2:20" ht="15" customHeight="1">
      <c r="B57" s="58" t="s">
        <v>417</v>
      </c>
      <c r="C57" s="251">
        <f>C11</f>
        <v>2018</v>
      </c>
      <c r="D57" s="251">
        <f t="shared" ref="D57:O57" si="24">D11</f>
        <v>2019</v>
      </c>
      <c r="E57" s="251">
        <f t="shared" si="24"/>
        <v>2020</v>
      </c>
      <c r="F57" s="252">
        <f t="shared" si="24"/>
        <v>2021</v>
      </c>
      <c r="G57" s="252">
        <f t="shared" si="24"/>
        <v>2022</v>
      </c>
      <c r="H57" s="252">
        <f t="shared" si="24"/>
        <v>2023</v>
      </c>
      <c r="I57" s="252">
        <f t="shared" si="24"/>
        <v>2024</v>
      </c>
      <c r="J57" s="252">
        <f t="shared" si="24"/>
        <v>2025</v>
      </c>
      <c r="K57" s="252">
        <f t="shared" si="24"/>
        <v>2026</v>
      </c>
      <c r="L57" s="252">
        <f t="shared" si="24"/>
        <v>2027</v>
      </c>
      <c r="M57" s="252">
        <f t="shared" si="24"/>
        <v>2028</v>
      </c>
      <c r="N57" s="252">
        <f t="shared" si="24"/>
        <v>2029</v>
      </c>
      <c r="O57" s="252">
        <f t="shared" si="24"/>
        <v>2030</v>
      </c>
      <c r="P57" s="102"/>
      <c r="Q57" s="211"/>
      <c r="R57" s="13"/>
      <c r="S57" s="145"/>
      <c r="T57" s="13"/>
    </row>
    <row r="58" spans="2:20">
      <c r="B58" s="13"/>
      <c r="C58" s="13"/>
      <c r="D58" s="13"/>
      <c r="E58" s="13"/>
      <c r="F58" s="13"/>
      <c r="G58" s="13"/>
      <c r="H58" s="13"/>
      <c r="I58" s="13"/>
      <c r="J58" s="13"/>
      <c r="K58" s="13"/>
      <c r="L58" s="13"/>
      <c r="M58" s="13"/>
      <c r="N58" s="13"/>
      <c r="O58" s="13"/>
      <c r="P58" s="13"/>
      <c r="Q58" s="319"/>
      <c r="R58" s="13"/>
      <c r="S58" s="145"/>
      <c r="T58" s="13"/>
    </row>
    <row r="59" spans="2:20" s="136" customFormat="1" ht="15" customHeight="1">
      <c r="B59" s="143" t="s">
        <v>294</v>
      </c>
      <c r="P59" s="13"/>
      <c r="Q59" s="319"/>
      <c r="R59" s="13"/>
      <c r="S59" s="145"/>
      <c r="T59" s="13"/>
    </row>
    <row r="60" spans="2:20" ht="15" customHeight="1">
      <c r="B60" s="125" t="s">
        <v>290</v>
      </c>
      <c r="E60" s="199"/>
      <c r="F60" s="155">
        <f>E61*(1+$R$60)</f>
        <v>723062.77479596238</v>
      </c>
      <c r="G60" s="155">
        <f t="shared" ref="G60:N60" si="25">F60*(1+$R$60)</f>
        <v>1045639.5525912732</v>
      </c>
      <c r="H60" s="155">
        <f t="shared" si="25"/>
        <v>1512126.0726661093</v>
      </c>
      <c r="I60" s="155">
        <f t="shared" si="25"/>
        <v>2186724.1478865561</v>
      </c>
      <c r="J60" s="155">
        <f t="shared" si="25"/>
        <v>3162277.6601683791</v>
      </c>
      <c r="K60" s="155">
        <f t="shared" si="25"/>
        <v>4573050.5192732634</v>
      </c>
      <c r="L60" s="155">
        <f t="shared" si="25"/>
        <v>6613205.1954956846</v>
      </c>
      <c r="M60" s="155">
        <f t="shared" si="25"/>
        <v>9563524.9979003686</v>
      </c>
      <c r="N60" s="155">
        <f t="shared" si="25"/>
        <v>13830057.843624782</v>
      </c>
      <c r="O60" s="164">
        <v>20000000</v>
      </c>
      <c r="P60" s="13"/>
      <c r="Q60" s="319"/>
      <c r="R60" s="491">
        <f>(O60/$E$61)^(1/COLUMNS(F60:O60))-1</f>
        <v>0.44612554959192474</v>
      </c>
      <c r="S60" s="492"/>
      <c r="T60" s="13"/>
    </row>
    <row r="61" spans="2:20" ht="15" customHeight="1">
      <c r="B61" s="95" t="s">
        <v>192</v>
      </c>
      <c r="C61" s="201">
        <v>245200</v>
      </c>
      <c r="D61" s="201">
        <v>367600</v>
      </c>
      <c r="E61" s="200">
        <v>500000</v>
      </c>
      <c r="F61" s="155">
        <f t="shared" ref="F61:N61" si="26">E61*(1+$R$61)</f>
        <v>696698.97948088427</v>
      </c>
      <c r="G61" s="155">
        <f t="shared" si="26"/>
        <v>970778.93601941108</v>
      </c>
      <c r="H61" s="155">
        <f t="shared" si="26"/>
        <v>1352681.3880525245</v>
      </c>
      <c r="I61" s="155">
        <f t="shared" si="26"/>
        <v>1884823.4852379595</v>
      </c>
      <c r="J61" s="155">
        <f t="shared" si="26"/>
        <v>2626309.1973337797</v>
      </c>
      <c r="K61" s="155">
        <f t="shared" si="26"/>
        <v>3659493.875167409</v>
      </c>
      <c r="L61" s="155">
        <f t="shared" si="26"/>
        <v>5099131.2964913603</v>
      </c>
      <c r="M61" s="155">
        <f t="shared" si="26"/>
        <v>7105119.141009138</v>
      </c>
      <c r="N61" s="155">
        <f t="shared" si="26"/>
        <v>9900258.5092623271</v>
      </c>
      <c r="O61" s="164">
        <f>AVERAGE(O60,O62)</f>
        <v>13795000</v>
      </c>
      <c r="P61" s="155"/>
      <c r="Q61" s="398"/>
      <c r="R61" s="491">
        <f t="shared" ref="R61:R62" si="27">(O61/$E$61)^(1/COLUMNS(F61:O61))-1</f>
        <v>0.39339795896176843</v>
      </c>
      <c r="S61" s="492"/>
      <c r="T61" s="13"/>
    </row>
    <row r="62" spans="2:20" ht="15" customHeight="1">
      <c r="B62" s="95" t="s">
        <v>291</v>
      </c>
      <c r="E62" s="199"/>
      <c r="F62" s="155">
        <f>E61*(1+$R$62)</f>
        <v>656292.10747505561</v>
      </c>
      <c r="G62" s="155">
        <f t="shared" ref="G62:N62" si="28">F62*(1+$R$62)</f>
        <v>861438.66066809988</v>
      </c>
      <c r="H62" s="155">
        <f t="shared" si="28"/>
        <v>1130710.7881407132</v>
      </c>
      <c r="I62" s="155">
        <f t="shared" si="28"/>
        <v>1484153.1321872997</v>
      </c>
      <c r="J62" s="155">
        <f t="shared" si="28"/>
        <v>1948075.9738778153</v>
      </c>
      <c r="K62" s="155">
        <f t="shared" si="28"/>
        <v>2557013.7728355858</v>
      </c>
      <c r="L62" s="155">
        <f t="shared" si="28"/>
        <v>3356295.9156340193</v>
      </c>
      <c r="M62" s="155">
        <f t="shared" si="28"/>
        <v>4405421.0395627441</v>
      </c>
      <c r="N62" s="155">
        <f t="shared" si="28"/>
        <v>5782486.1167391678</v>
      </c>
      <c r="O62" s="164">
        <v>7590000</v>
      </c>
      <c r="P62" s="13"/>
      <c r="Q62" s="319"/>
      <c r="R62" s="491">
        <f t="shared" si="27"/>
        <v>0.31258421495011124</v>
      </c>
      <c r="S62" s="492"/>
      <c r="T62" s="13"/>
    </row>
    <row r="63" spans="2:20" s="136" customFormat="1" ht="15" customHeight="1">
      <c r="B63" s="143" t="s">
        <v>293</v>
      </c>
      <c r="E63" s="199"/>
      <c r="F63" s="102"/>
      <c r="G63" s="102"/>
      <c r="H63" s="102"/>
      <c r="I63" s="102"/>
      <c r="J63" s="102"/>
      <c r="K63" s="102"/>
      <c r="L63" s="102"/>
      <c r="M63" s="102"/>
      <c r="N63" s="102"/>
      <c r="O63" s="102"/>
      <c r="P63" s="13"/>
      <c r="Q63" s="319"/>
      <c r="R63" s="13"/>
      <c r="S63" s="145"/>
      <c r="T63" s="13"/>
    </row>
    <row r="64" spans="2:20" ht="15" customHeight="1">
      <c r="B64" s="125" t="s">
        <v>290</v>
      </c>
      <c r="E64" s="199"/>
      <c r="F64" s="115">
        <f>E65*(1+$R$64)</f>
        <v>47349.217228197376</v>
      </c>
      <c r="G64" s="115">
        <f t="shared" ref="G64:N64" si="29">F64*(1+$R$64)</f>
        <v>44838.967442460467</v>
      </c>
      <c r="H64" s="115">
        <f t="shared" si="29"/>
        <v>42461.800194422605</v>
      </c>
      <c r="I64" s="115">
        <f t="shared" si="29"/>
        <v>40210.660026120589</v>
      </c>
      <c r="J64" s="115">
        <f t="shared" si="29"/>
        <v>38078.865529319533</v>
      </c>
      <c r="K64" s="115">
        <f t="shared" si="29"/>
        <v>36060.089515021355</v>
      </c>
      <c r="L64" s="115">
        <f t="shared" si="29"/>
        <v>34148.340234299772</v>
      </c>
      <c r="M64" s="115">
        <f t="shared" si="29"/>
        <v>32337.943594725049</v>
      </c>
      <c r="N64" s="115">
        <f t="shared" si="29"/>
        <v>30623.526319596607</v>
      </c>
      <c r="O64" s="164">
        <v>29000</v>
      </c>
      <c r="P64" s="102"/>
      <c r="Q64" s="211"/>
      <c r="R64" s="491">
        <f>(O64/$E$65)^(1/COLUMNS(F64:O64))-1</f>
        <v>-5.3015655436052467E-2</v>
      </c>
      <c r="S64" s="492"/>
      <c r="T64" s="13"/>
    </row>
    <row r="65" spans="1:24" ht="15" customHeight="1">
      <c r="B65" s="95" t="s">
        <v>192</v>
      </c>
      <c r="E65" s="200">
        <v>50000</v>
      </c>
      <c r="F65" s="115">
        <f t="shared" ref="F65:N65" si="30">E65*(1+$R$65)</f>
        <v>48108.39804235944</v>
      </c>
      <c r="G65" s="115">
        <f t="shared" si="30"/>
        <v>46288.359244041872</v>
      </c>
      <c r="H65" s="115">
        <f t="shared" si="30"/>
        <v>44537.176224801893</v>
      </c>
      <c r="I65" s="115">
        <f t="shared" si="30"/>
        <v>42852.244030109534</v>
      </c>
      <c r="J65" s="115">
        <f t="shared" si="30"/>
        <v>41231.056256176613</v>
      </c>
      <c r="K65" s="115">
        <f t="shared" si="30"/>
        <v>39671.201321581175</v>
      </c>
      <c r="L65" s="115">
        <f t="shared" si="30"/>
        <v>38170.358879944062</v>
      </c>
      <c r="M65" s="115">
        <f t="shared" si="30"/>
        <v>36726.296368321164</v>
      </c>
      <c r="N65" s="115">
        <f t="shared" si="30"/>
        <v>35336.865686177087</v>
      </c>
      <c r="O65" s="164">
        <f>AVERAGE(O64,O66)</f>
        <v>34000</v>
      </c>
      <c r="P65" s="155"/>
      <c r="Q65" s="399"/>
      <c r="R65" s="491">
        <f t="shared" ref="R65" si="31">(O65/$E$65)^(1/COLUMNS(F65:O65))-1</f>
        <v>-3.7832039152811192E-2</v>
      </c>
      <c r="S65" s="492"/>
      <c r="T65" s="13"/>
    </row>
    <row r="66" spans="1:24" ht="15" customHeight="1">
      <c r="A66" s="102"/>
      <c r="B66" s="198" t="s">
        <v>291</v>
      </c>
      <c r="C66" s="156"/>
      <c r="D66" s="156"/>
      <c r="E66" s="156"/>
      <c r="F66" s="196">
        <f>E65*(1+R$66)</f>
        <v>48772.99943632324</v>
      </c>
      <c r="G66" s="196">
        <f t="shared" ref="G66:N66" si="32">F66*(1+$R$66)</f>
        <v>47576.109480311738</v>
      </c>
      <c r="H66" s="196">
        <f t="shared" si="32"/>
        <v>46408.591217313944</v>
      </c>
      <c r="I66" s="196">
        <f t="shared" si="32"/>
        <v>45269.723865652173</v>
      </c>
      <c r="J66" s="196">
        <f t="shared" si="32"/>
        <v>44158.804331639243</v>
      </c>
      <c r="K66" s="196">
        <f t="shared" si="32"/>
        <v>43075.146775514979</v>
      </c>
      <c r="L66" s="196">
        <f t="shared" si="32"/>
        <v>42018.082188034656</v>
      </c>
      <c r="M66" s="196">
        <f t="shared" si="32"/>
        <v>40986.957977447957</v>
      </c>
      <c r="N66" s="196">
        <f t="shared" si="32"/>
        <v>39981.13756661347</v>
      </c>
      <c r="O66" s="197">
        <v>39000</v>
      </c>
      <c r="P66" s="102"/>
      <c r="Q66" s="211"/>
      <c r="R66" s="491">
        <f>(O66/$E$65)^(1/COLUMNS(F66:O66))-1</f>
        <v>-2.4540011273535223E-2</v>
      </c>
      <c r="S66" s="492"/>
      <c r="T66" s="102"/>
      <c r="W66" s="102"/>
      <c r="X66" s="102"/>
    </row>
    <row r="67" spans="1:24" s="171" customFormat="1">
      <c r="A67" s="172"/>
      <c r="B67" s="143" t="s">
        <v>307</v>
      </c>
      <c r="C67" s="193"/>
      <c r="D67" s="193"/>
      <c r="E67" s="193"/>
      <c r="F67" s="194"/>
      <c r="G67" s="194"/>
      <c r="H67" s="176"/>
      <c r="I67" s="176"/>
      <c r="J67" s="176"/>
      <c r="K67" s="176"/>
      <c r="L67" s="176"/>
      <c r="M67" s="176"/>
      <c r="N67" s="176"/>
      <c r="O67" s="176"/>
      <c r="P67" s="194"/>
      <c r="Q67" s="400"/>
      <c r="R67" s="194"/>
      <c r="S67" s="408"/>
      <c r="T67" s="194"/>
      <c r="U67" s="136"/>
      <c r="V67" s="136"/>
      <c r="W67" s="194"/>
      <c r="X67" s="194"/>
    </row>
    <row r="68" spans="1:24" s="192" customFormat="1">
      <c r="A68" s="190"/>
      <c r="B68" s="184" t="s">
        <v>290</v>
      </c>
      <c r="C68" s="191"/>
      <c r="D68" s="191"/>
      <c r="E68" s="191"/>
      <c r="G68" s="177">
        <f>G72*$V$16</f>
        <v>3450610523.5512013</v>
      </c>
      <c r="H68" s="177">
        <f t="shared" ref="H68:O68" si="33">H72*$V$16</f>
        <v>10436632979.268625</v>
      </c>
      <c r="I68" s="177">
        <f t="shared" si="33"/>
        <v>24580364767.798866</v>
      </c>
      <c r="J68" s="177">
        <f t="shared" si="33"/>
        <v>53215421436.155563</v>
      </c>
      <c r="K68" s="177">
        <f t="shared" si="33"/>
        <v>111189263323.1281</v>
      </c>
      <c r="L68" s="177">
        <f t="shared" si="33"/>
        <v>225111088344.63181</v>
      </c>
      <c r="M68" s="177">
        <f t="shared" si="33"/>
        <v>452303844368.71246</v>
      </c>
      <c r="N68" s="177">
        <f t="shared" si="33"/>
        <v>908822182681.24023</v>
      </c>
      <c r="O68" s="177">
        <f t="shared" si="33"/>
        <v>1829627538205.0842</v>
      </c>
      <c r="P68" s="393"/>
      <c r="Q68" s="401"/>
      <c r="R68" s="393"/>
      <c r="S68" s="409"/>
      <c r="T68" s="393"/>
      <c r="U68" s="136"/>
      <c r="V68" s="136"/>
    </row>
    <row r="69" spans="1:24" s="192" customFormat="1" ht="15" customHeight="1">
      <c r="A69" s="190"/>
      <c r="B69" s="186" t="s">
        <v>192</v>
      </c>
      <c r="C69" s="191"/>
      <c r="D69" s="191"/>
      <c r="E69" s="191"/>
      <c r="G69" s="177">
        <f t="shared" ref="G69:O69" si="34">G73*$V$16</f>
        <v>0</v>
      </c>
      <c r="H69" s="177">
        <f t="shared" si="34"/>
        <v>4463848580.5733309</v>
      </c>
      <c r="I69" s="177">
        <f t="shared" si="34"/>
        <v>13482728957.436966</v>
      </c>
      <c r="J69" s="177">
        <f t="shared" si="34"/>
        <v>31704718745.838058</v>
      </c>
      <c r="K69" s="177">
        <f t="shared" si="34"/>
        <v>68520919645.939453</v>
      </c>
      <c r="L69" s="177">
        <f t="shared" si="34"/>
        <v>142905367472.78461</v>
      </c>
      <c r="M69" s="177">
        <f t="shared" si="34"/>
        <v>288729868673.82642</v>
      </c>
      <c r="N69" s="177">
        <f t="shared" si="34"/>
        <v>578893785486.47009</v>
      </c>
      <c r="O69" s="177">
        <f t="shared" si="34"/>
        <v>1160684960609.9766</v>
      </c>
      <c r="P69" s="393"/>
      <c r="Q69" s="401"/>
      <c r="R69" s="393"/>
      <c r="S69" s="409"/>
      <c r="T69" s="393"/>
      <c r="U69" s="136"/>
      <c r="V69" s="136"/>
    </row>
    <row r="70" spans="1:24" s="192" customFormat="1">
      <c r="A70" s="190"/>
      <c r="B70" s="186" t="s">
        <v>291</v>
      </c>
      <c r="C70" s="191"/>
      <c r="D70" s="191"/>
      <c r="E70" s="191"/>
      <c r="G70" s="177">
        <f t="shared" ref="G70:O70" si="35">G74*$V$16</f>
        <v>0</v>
      </c>
      <c r="H70" s="177">
        <f t="shared" si="35"/>
        <v>0</v>
      </c>
      <c r="I70" s="177">
        <f t="shared" si="35"/>
        <v>0</v>
      </c>
      <c r="J70" s="177">
        <f t="shared" si="35"/>
        <v>8571534285.0623875</v>
      </c>
      <c r="K70" s="177">
        <f t="shared" si="35"/>
        <v>25447825185.777252</v>
      </c>
      <c r="L70" s="177">
        <f t="shared" si="35"/>
        <v>58675154750.554031</v>
      </c>
      <c r="M70" s="177">
        <f t="shared" si="35"/>
        <v>124095657188.06076</v>
      </c>
      <c r="N70" s="177">
        <f t="shared" si="35"/>
        <v>252900535438.42575</v>
      </c>
      <c r="O70" s="177">
        <f t="shared" si="35"/>
        <v>497929876153.36334</v>
      </c>
      <c r="P70" s="393"/>
      <c r="Q70" s="401"/>
      <c r="R70" s="393"/>
      <c r="S70" s="409"/>
      <c r="T70" s="393"/>
      <c r="U70" s="136"/>
      <c r="V70" s="136"/>
    </row>
    <row r="71" spans="1:24" s="183" customFormat="1">
      <c r="A71" s="180"/>
      <c r="B71" s="143" t="s">
        <v>306</v>
      </c>
      <c r="C71" s="181"/>
      <c r="D71" s="182"/>
      <c r="E71" s="182"/>
      <c r="H71" s="129"/>
      <c r="I71" s="188"/>
      <c r="J71" s="188"/>
      <c r="K71" s="188"/>
      <c r="L71" s="188"/>
      <c r="P71" s="394"/>
      <c r="Q71" s="401"/>
      <c r="R71" s="393"/>
      <c r="S71" s="410"/>
      <c r="T71" s="394"/>
      <c r="U71" s="136"/>
      <c r="V71" s="136"/>
    </row>
    <row r="72" spans="1:24" s="127" customFormat="1" ht="15" customHeight="1">
      <c r="B72" s="184" t="s">
        <v>290</v>
      </c>
      <c r="F72" s="188"/>
      <c r="G72" s="185">
        <f>G76*G60+F72</f>
        <v>31369.186577738194</v>
      </c>
      <c r="H72" s="185">
        <f>H76*H60+G72</f>
        <v>94878.481629714777</v>
      </c>
      <c r="I72" s="185">
        <f>I76*I60+H72</f>
        <v>223457.86152544426</v>
      </c>
      <c r="J72" s="185">
        <f>J76*J60+I72</f>
        <v>483776.55851050513</v>
      </c>
      <c r="K72" s="185">
        <f>K76*K60+J72</f>
        <v>1010811.48475571</v>
      </c>
      <c r="L72" s="185">
        <f t="shared" ref="L72:O74" si="36">L76*L60+K72-G72</f>
        <v>2046464.4394966527</v>
      </c>
      <c r="M72" s="185">
        <f t="shared" si="36"/>
        <v>4111853.1306246589</v>
      </c>
      <c r="N72" s="185">
        <f t="shared" si="36"/>
        <v>8262019.8425567299</v>
      </c>
      <c r="O72" s="207">
        <f t="shared" si="36"/>
        <v>16632977.620046221</v>
      </c>
      <c r="P72" s="394"/>
      <c r="Q72" s="402"/>
      <c r="R72" s="394"/>
      <c r="S72" s="411"/>
      <c r="T72" s="407"/>
      <c r="U72" s="136"/>
      <c r="V72" s="136"/>
    </row>
    <row r="73" spans="1:24" s="127" customFormat="1">
      <c r="B73" s="186" t="s">
        <v>192</v>
      </c>
      <c r="F73" s="188"/>
      <c r="G73" s="188"/>
      <c r="H73" s="185">
        <f>H77*H61+G73</f>
        <v>40580.441641575737</v>
      </c>
      <c r="I73" s="185">
        <f>I77*I61+H73</f>
        <v>122570.26324942696</v>
      </c>
      <c r="J73" s="185">
        <f>J77*J61+I73</f>
        <v>288224.71587125509</v>
      </c>
      <c r="K73" s="185">
        <f>K77*K61+J73</f>
        <v>622917.45132672228</v>
      </c>
      <c r="L73" s="185">
        <f t="shared" si="36"/>
        <v>1299139.704298042</v>
      </c>
      <c r="M73" s="185">
        <f t="shared" si="36"/>
        <v>2624816.9879438765</v>
      </c>
      <c r="N73" s="185">
        <f t="shared" si="36"/>
        <v>5262670.7771497276</v>
      </c>
      <c r="O73" s="185">
        <f t="shared" si="36"/>
        <v>10551681.460090697</v>
      </c>
      <c r="P73" s="187"/>
      <c r="Q73" s="402"/>
      <c r="R73" s="394"/>
      <c r="S73" s="411"/>
      <c r="T73" s="407"/>
      <c r="U73" s="136"/>
      <c r="V73" s="136"/>
    </row>
    <row r="74" spans="1:24" s="127" customFormat="1">
      <c r="B74" s="186" t="s">
        <v>291</v>
      </c>
      <c r="G74" s="188"/>
      <c r="H74" s="188"/>
      <c r="I74" s="188"/>
      <c r="J74" s="185">
        <f>J78*J62+I74</f>
        <v>77923.038955112614</v>
      </c>
      <c r="K74" s="185">
        <f>K78*K62+J74</f>
        <v>231343.86532524775</v>
      </c>
      <c r="L74" s="185">
        <f t="shared" si="36"/>
        <v>533410.49773230939</v>
      </c>
      <c r="M74" s="185">
        <f t="shared" si="36"/>
        <v>1128142.3380732797</v>
      </c>
      <c r="N74" s="185">
        <f t="shared" si="36"/>
        <v>2299095.7767129615</v>
      </c>
      <c r="O74" s="185">
        <f t="shared" si="36"/>
        <v>4526635.2377578486</v>
      </c>
      <c r="P74" s="395"/>
      <c r="Q74" s="403"/>
      <c r="R74" s="395"/>
      <c r="S74" s="411"/>
      <c r="T74" s="407"/>
      <c r="U74" s="136"/>
      <c r="V74" s="136"/>
    </row>
    <row r="75" spans="1:24" s="171" customFormat="1">
      <c r="A75" s="172"/>
      <c r="B75" s="143" t="s">
        <v>305</v>
      </c>
      <c r="C75" s="173"/>
      <c r="D75" s="173"/>
      <c r="E75" s="173"/>
      <c r="H75" s="126"/>
      <c r="I75" s="126"/>
      <c r="J75" s="126"/>
      <c r="K75" s="126"/>
      <c r="L75" s="126"/>
      <c r="M75" s="126"/>
      <c r="N75" s="126"/>
      <c r="O75" s="126"/>
      <c r="P75" s="383"/>
      <c r="Q75" s="387"/>
      <c r="R75" s="383"/>
      <c r="S75" s="408"/>
      <c r="T75" s="194"/>
      <c r="U75" s="136"/>
      <c r="V75" s="136"/>
      <c r="W75" s="136"/>
    </row>
    <row r="76" spans="1:24" ht="15" customHeight="1">
      <c r="B76" s="125" t="s">
        <v>290</v>
      </c>
      <c r="G76" s="170">
        <v>0.03</v>
      </c>
      <c r="H76" s="140">
        <f t="shared" ref="H76:O76" si="37">G76*(1+$R$76)</f>
        <v>4.1999999999999996E-2</v>
      </c>
      <c r="I76" s="140">
        <f t="shared" si="37"/>
        <v>5.8799999999999991E-2</v>
      </c>
      <c r="J76" s="140">
        <f t="shared" si="37"/>
        <v>8.2319999999999977E-2</v>
      </c>
      <c r="K76" s="140">
        <f t="shared" si="37"/>
        <v>0.11524799999999996</v>
      </c>
      <c r="L76" s="140">
        <f t="shared" si="37"/>
        <v>0.16134719999999994</v>
      </c>
      <c r="M76" s="140">
        <f t="shared" si="37"/>
        <v>0.22588607999999991</v>
      </c>
      <c r="N76" s="140">
        <f t="shared" si="37"/>
        <v>0.31624051199999986</v>
      </c>
      <c r="O76" s="140">
        <f t="shared" si="37"/>
        <v>0.44273671679999976</v>
      </c>
      <c r="P76" s="396"/>
      <c r="Q76" s="404"/>
      <c r="R76" s="493">
        <v>0.4</v>
      </c>
      <c r="S76" s="494"/>
      <c r="T76" s="13"/>
      <c r="W76" s="136"/>
    </row>
    <row r="77" spans="1:24" s="171" customFormat="1" ht="15" customHeight="1">
      <c r="A77" s="172"/>
      <c r="B77" s="95" t="s">
        <v>192</v>
      </c>
      <c r="C77" s="173"/>
      <c r="D77" s="173"/>
      <c r="E77" s="173"/>
      <c r="F77" s="175"/>
      <c r="G77" s="208"/>
      <c r="H77" s="170">
        <v>0.03</v>
      </c>
      <c r="I77" s="209">
        <f t="shared" ref="I77:O77" si="38">H77*(1+$R$77)</f>
        <v>4.3499999999999997E-2</v>
      </c>
      <c r="J77" s="209">
        <f t="shared" si="38"/>
        <v>6.3074999999999992E-2</v>
      </c>
      <c r="K77" s="209">
        <f t="shared" si="38"/>
        <v>9.1458749999999991E-2</v>
      </c>
      <c r="L77" s="209">
        <f t="shared" si="38"/>
        <v>0.13261518749999998</v>
      </c>
      <c r="M77" s="209">
        <f t="shared" si="38"/>
        <v>0.19229202187499997</v>
      </c>
      <c r="N77" s="209">
        <f t="shared" si="38"/>
        <v>0.27882343171874996</v>
      </c>
      <c r="O77" s="209">
        <f t="shared" si="38"/>
        <v>0.40429397599218742</v>
      </c>
      <c r="P77" s="397"/>
      <c r="Q77" s="405"/>
      <c r="R77" s="493">
        <v>0.45</v>
      </c>
      <c r="S77" s="494"/>
      <c r="T77" s="194"/>
      <c r="U77" s="136"/>
      <c r="V77" s="136"/>
      <c r="W77" s="136"/>
    </row>
    <row r="78" spans="1:24" s="171" customFormat="1" ht="15" customHeight="1">
      <c r="A78" s="172"/>
      <c r="B78" s="95" t="s">
        <v>291</v>
      </c>
      <c r="C78" s="173"/>
      <c r="D78" s="173"/>
      <c r="E78" s="173"/>
      <c r="G78" s="208"/>
      <c r="H78" s="140"/>
      <c r="J78" s="170">
        <v>0.04</v>
      </c>
      <c r="K78" s="140">
        <f>J78*(1+$R$78)</f>
        <v>0.06</v>
      </c>
      <c r="L78" s="140">
        <f t="shared" ref="L78:O78" si="39">K78*(1+$R$78)</f>
        <v>0.09</v>
      </c>
      <c r="M78" s="140">
        <f t="shared" si="39"/>
        <v>0.13500000000000001</v>
      </c>
      <c r="N78" s="140">
        <f t="shared" si="39"/>
        <v>0.20250000000000001</v>
      </c>
      <c r="O78" s="140">
        <f t="shared" si="39"/>
        <v>0.30375000000000002</v>
      </c>
      <c r="P78" s="396"/>
      <c r="Q78" s="404"/>
      <c r="R78" s="493">
        <v>0.5</v>
      </c>
      <c r="S78" s="494"/>
      <c r="T78" s="194"/>
      <c r="U78" s="136"/>
      <c r="V78" s="136"/>
      <c r="W78" s="136"/>
    </row>
    <row r="79" spans="1:24" s="171" customFormat="1">
      <c r="A79" s="172"/>
      <c r="B79" s="143" t="s">
        <v>304</v>
      </c>
      <c r="C79" s="173"/>
      <c r="D79" s="173"/>
      <c r="E79" s="173"/>
      <c r="H79" s="173"/>
      <c r="I79" s="173"/>
      <c r="J79" s="173"/>
      <c r="K79" s="173"/>
      <c r="L79" s="173"/>
      <c r="M79" s="173"/>
      <c r="N79" s="173"/>
      <c r="O79" s="173"/>
      <c r="P79" s="194"/>
      <c r="Q79" s="406"/>
      <c r="R79" s="194"/>
      <c r="S79" s="408"/>
      <c r="T79" s="194"/>
      <c r="U79" s="136"/>
      <c r="V79" s="136"/>
    </row>
    <row r="80" spans="1:24">
      <c r="B80" s="125" t="s">
        <v>290</v>
      </c>
      <c r="G80" s="166">
        <v>3.5</v>
      </c>
      <c r="H80" s="154">
        <f t="shared" ref="H80:N80" si="40">G80*(1+$R$80)</f>
        <v>2.7083893851968819</v>
      </c>
      <c r="I80" s="154">
        <f t="shared" si="40"/>
        <v>2.0958208748134699</v>
      </c>
      <c r="J80" s="154">
        <f t="shared" si="40"/>
        <v>1.6217997173196701</v>
      </c>
      <c r="K80" s="154">
        <f t="shared" si="40"/>
        <v>1.2549900398011138</v>
      </c>
      <c r="L80" s="154">
        <f t="shared" si="40"/>
        <v>0.97114334352147114</v>
      </c>
      <c r="M80" s="154">
        <f t="shared" si="40"/>
        <v>0.75149552088518901</v>
      </c>
      <c r="N80" s="154">
        <f t="shared" si="40"/>
        <v>0.58152642622527073</v>
      </c>
      <c r="O80" s="166">
        <v>0.45</v>
      </c>
      <c r="P80" s="194"/>
      <c r="Q80" s="319"/>
      <c r="R80" s="491">
        <f>(O80/$G$80)^(1/COLUMNS(H80:O80))-1</f>
        <v>-0.22617446137231945</v>
      </c>
      <c r="S80" s="492"/>
      <c r="T80" s="13"/>
    </row>
    <row r="81" spans="2:20">
      <c r="B81" s="95" t="s">
        <v>192</v>
      </c>
      <c r="G81" s="189"/>
      <c r="H81" s="166">
        <v>3</v>
      </c>
      <c r="I81" s="154">
        <f t="shared" ref="I81:N81" si="41">H81*(1+$R$81)</f>
        <v>2.3225057098758297</v>
      </c>
      <c r="J81" s="154">
        <f t="shared" si="41"/>
        <v>1.7980109241352771</v>
      </c>
      <c r="K81" s="154">
        <f t="shared" si="41"/>
        <v>1.3919635459077659</v>
      </c>
      <c r="L81" s="154">
        <f t="shared" si="41"/>
        <v>1.0776144277699309</v>
      </c>
      <c r="M81" s="154">
        <f t="shared" si="41"/>
        <v>0.83425522051341305</v>
      </c>
      <c r="N81" s="154">
        <f t="shared" si="41"/>
        <v>0.64585417104537368</v>
      </c>
      <c r="O81" s="166">
        <v>0.5</v>
      </c>
      <c r="P81" s="194"/>
      <c r="Q81" s="319"/>
      <c r="R81" s="491">
        <f>(O81/$H$81)^(1/COLUMNS(I81:O81))-1</f>
        <v>-0.22583143004139017</v>
      </c>
      <c r="S81" s="492"/>
      <c r="T81" s="13"/>
    </row>
    <row r="82" spans="2:20">
      <c r="B82" s="195" t="s">
        <v>291</v>
      </c>
      <c r="C82" s="87"/>
      <c r="D82" s="87"/>
      <c r="E82" s="87"/>
      <c r="F82" s="87"/>
      <c r="G82" s="203"/>
      <c r="H82" s="203"/>
      <c r="I82" s="203"/>
      <c r="J82" s="204">
        <v>3.5</v>
      </c>
      <c r="K82" s="205">
        <f>J82*(1+$R$82)</f>
        <v>2.5367288228719342</v>
      </c>
      <c r="L82" s="205">
        <f>K82*(1+$R$82)</f>
        <v>1.838569463082637</v>
      </c>
      <c r="M82" s="205">
        <f>L82*(1+$R$82)</f>
        <v>1.3325577571011149</v>
      </c>
      <c r="N82" s="205">
        <f>M82*(1+$R$82)</f>
        <v>0.9658107630228504</v>
      </c>
      <c r="O82" s="204">
        <v>0.7</v>
      </c>
      <c r="P82" s="383"/>
      <c r="Q82" s="319"/>
      <c r="R82" s="491">
        <f>(O82/$J$82)^(1/COLUMNS(K82:O82))-1</f>
        <v>-0.27522033632230447</v>
      </c>
      <c r="S82" s="492"/>
      <c r="T82" s="13"/>
    </row>
    <row r="83" spans="2:20" s="136" customFormat="1">
      <c r="B83" s="143" t="s">
        <v>308</v>
      </c>
      <c r="C83" s="14"/>
      <c r="D83" s="13"/>
      <c r="E83" s="13"/>
      <c r="F83" s="13"/>
      <c r="G83" s="13"/>
      <c r="H83" s="13"/>
      <c r="I83" s="13"/>
      <c r="J83" s="13"/>
      <c r="K83" s="13"/>
      <c r="L83" s="13"/>
      <c r="M83" s="13"/>
      <c r="N83" s="14"/>
      <c r="O83" s="14"/>
      <c r="P83" s="14"/>
      <c r="Q83" s="319"/>
      <c r="R83" s="13"/>
      <c r="S83" s="145"/>
      <c r="T83" s="13"/>
    </row>
    <row r="84" spans="2:20" ht="15" customHeight="1">
      <c r="B84" s="125" t="s">
        <v>290</v>
      </c>
      <c r="D84" s="161"/>
      <c r="E84" s="201"/>
      <c r="F84" s="161"/>
      <c r="G84" s="105">
        <f>F85*(1+$R$84)</f>
        <v>10536.102768906645</v>
      </c>
      <c r="H84" s="115">
        <f>G84*(1+$R$84)</f>
        <v>11100.946155696227</v>
      </c>
      <c r="I84" s="115">
        <f t="shared" ref="I84:N84" si="42">H84*(1+$R$84)</f>
        <v>11696.07095285146</v>
      </c>
      <c r="J84" s="115">
        <f t="shared" si="42"/>
        <v>12323.100555166686</v>
      </c>
      <c r="K84" s="115">
        <f t="shared" si="42"/>
        <v>12983.745388080673</v>
      </c>
      <c r="L84" s="115">
        <f t="shared" si="42"/>
        <v>13679.807573413567</v>
      </c>
      <c r="M84" s="115">
        <f t="shared" si="42"/>
        <v>14413.185845235279</v>
      </c>
      <c r="N84" s="115">
        <f t="shared" si="42"/>
        <v>15185.88072927495</v>
      </c>
      <c r="O84" s="165">
        <v>16000</v>
      </c>
      <c r="P84" s="13"/>
      <c r="Q84" s="319"/>
      <c r="R84" s="491">
        <f>(O84/$F$85)^(1/COLUMNS(G84:O84))-1</f>
        <v>5.3610276890664554E-2</v>
      </c>
      <c r="S84" s="492"/>
      <c r="T84" s="13"/>
    </row>
    <row r="85" spans="2:20">
      <c r="B85" s="95" t="s">
        <v>192</v>
      </c>
      <c r="D85" s="201">
        <v>5000</v>
      </c>
      <c r="E85" s="201">
        <v>8000</v>
      </c>
      <c r="F85" s="153">
        <v>10000</v>
      </c>
      <c r="G85" s="105">
        <f>F85*(1+$R$85)</f>
        <v>10380.934442655209</v>
      </c>
      <c r="H85" s="105">
        <f>G85*(1+$R$85)</f>
        <v>10776.379990270521</v>
      </c>
      <c r="I85" s="105">
        <f t="shared" ref="I85:N85" si="43">H85*(1+$R$85)</f>
        <v>11186.889420813966</v>
      </c>
      <c r="J85" s="105">
        <f t="shared" si="43"/>
        <v>11613.036569470289</v>
      </c>
      <c r="K85" s="105">
        <f t="shared" si="43"/>
        <v>12055.417130782862</v>
      </c>
      <c r="L85" s="105">
        <f t="shared" si="43"/>
        <v>12514.649491351945</v>
      </c>
      <c r="M85" s="105">
        <f t="shared" si="43"/>
        <v>12991.375594253292</v>
      </c>
      <c r="N85" s="105">
        <f t="shared" si="43"/>
        <v>13486.261836385429</v>
      </c>
      <c r="O85" s="165">
        <v>14000</v>
      </c>
      <c r="P85" s="13"/>
      <c r="Q85" s="319"/>
      <c r="R85" s="491">
        <f>(O85/$F$85)^(1/COLUMNS(G85:O85))-1</f>
        <v>3.809344426552097E-2</v>
      </c>
      <c r="S85" s="492"/>
      <c r="T85" s="13"/>
    </row>
    <row r="86" spans="2:20">
      <c r="B86" s="95" t="s">
        <v>291</v>
      </c>
      <c r="D86" s="161"/>
      <c r="E86" s="201"/>
      <c r="F86" s="201"/>
      <c r="G86" s="105">
        <f>F85*(1+$R$86)</f>
        <v>10204.645356768482</v>
      </c>
      <c r="H86" s="105">
        <f>G86*(1+$R$86)</f>
        <v>10413.478685741655</v>
      </c>
      <c r="I86" s="105">
        <f t="shared" ref="I86:N86" si="44">H86*(1+$R$86)</f>
        <v>10626.585691826114</v>
      </c>
      <c r="J86" s="105">
        <f t="shared" si="44"/>
        <v>10844.053833839575</v>
      </c>
      <c r="K86" s="105">
        <f t="shared" si="44"/>
        <v>11065.972360403848</v>
      </c>
      <c r="L86" s="105">
        <f t="shared" si="44"/>
        <v>11292.43234657235</v>
      </c>
      <c r="M86" s="105">
        <f t="shared" si="44"/>
        <v>11523.526731207176</v>
      </c>
      <c r="N86" s="105">
        <f t="shared" si="44"/>
        <v>11759.35035512108</v>
      </c>
      <c r="O86" s="165">
        <v>12000</v>
      </c>
      <c r="P86" s="13"/>
      <c r="Q86" s="319"/>
      <c r="R86" s="491">
        <f>(O86/$F$85)^(1/COLUMNS(G86:O86))-1</f>
        <v>2.046453567684825E-2</v>
      </c>
      <c r="S86" s="492"/>
      <c r="T86" s="13"/>
    </row>
    <row r="87" spans="2:20" s="136" customFormat="1">
      <c r="B87" s="143" t="s">
        <v>309</v>
      </c>
      <c r="C87" s="16"/>
      <c r="D87" s="161"/>
      <c r="E87" s="161"/>
      <c r="F87" s="161"/>
      <c r="G87"/>
      <c r="H87"/>
      <c r="I87"/>
      <c r="J87"/>
      <c r="K87"/>
      <c r="L87"/>
      <c r="M87"/>
      <c r="N87"/>
      <c r="O87"/>
      <c r="P87" s="14"/>
      <c r="Q87" s="319"/>
      <c r="R87" s="13"/>
      <c r="S87" s="145"/>
      <c r="T87" s="13"/>
    </row>
    <row r="88" spans="2:20">
      <c r="B88" s="125" t="s">
        <v>290</v>
      </c>
      <c r="D88" s="161"/>
      <c r="E88" s="161"/>
      <c r="F88" s="210">
        <v>0.3</v>
      </c>
      <c r="G88" s="206">
        <f>F88*(1+$R$88)</f>
        <v>0.31752002185238021</v>
      </c>
      <c r="H88" s="206">
        <f t="shared" ref="H88:N88" si="45">G88*(1+$R$88)</f>
        <v>0.33606321425712005</v>
      </c>
      <c r="I88" s="206">
        <f t="shared" si="45"/>
        <v>0.35568933044900636</v>
      </c>
      <c r="J88" s="206">
        <f t="shared" si="45"/>
        <v>0.37646161325609001</v>
      </c>
      <c r="K88" s="206">
        <f t="shared" si="45"/>
        <v>0.39844699889218671</v>
      </c>
      <c r="L88" s="206">
        <f t="shared" si="45"/>
        <v>0.42171633265087483</v>
      </c>
      <c r="M88" s="206">
        <f t="shared" si="45"/>
        <v>0.44634459719603808</v>
      </c>
      <c r="N88" s="206">
        <f t="shared" si="45"/>
        <v>0.4724111541845929</v>
      </c>
      <c r="O88" s="170">
        <v>0.5</v>
      </c>
      <c r="P88" s="13"/>
      <c r="Q88" s="319"/>
      <c r="R88" s="491">
        <f>(O88/$F$88)^(1/COLUMNS(G88:O88))-1</f>
        <v>5.840007284126747E-2</v>
      </c>
      <c r="S88" s="492"/>
      <c r="T88" s="13"/>
    </row>
    <row r="89" spans="2:20">
      <c r="B89" s="95" t="s">
        <v>192</v>
      </c>
      <c r="D89" s="161"/>
      <c r="E89" s="161"/>
      <c r="F89" s="210">
        <v>0.3</v>
      </c>
      <c r="G89" s="206">
        <f>F89*(1+$R$89)</f>
        <v>0.30974430959283611</v>
      </c>
      <c r="H89" s="206">
        <f t="shared" ref="H89:N89" si="46">G89*(1+$R$89)</f>
        <v>0.31980512441714237</v>
      </c>
      <c r="I89" s="206">
        <f t="shared" si="46"/>
        <v>0.33019272488946272</v>
      </c>
      <c r="J89" s="206">
        <f t="shared" si="46"/>
        <v>0.34091772534487969</v>
      </c>
      <c r="K89" s="206">
        <f t="shared" si="46"/>
        <v>0.35199108488303293</v>
      </c>
      <c r="L89" s="206">
        <f t="shared" si="46"/>
        <v>0.36342411856642803</v>
      </c>
      <c r="M89" s="206">
        <f t="shared" si="46"/>
        <v>0.37522850898247756</v>
      </c>
      <c r="N89" s="206">
        <f t="shared" si="46"/>
        <v>0.3874163181810894</v>
      </c>
      <c r="O89" s="170">
        <v>0.4</v>
      </c>
      <c r="P89" s="13"/>
      <c r="Q89" s="319"/>
      <c r="R89" s="491">
        <f>(O89/$F$89)^(1/COLUMNS(G89:O89))-1</f>
        <v>3.24810319761204E-2</v>
      </c>
      <c r="S89" s="492"/>
      <c r="T89" s="13"/>
    </row>
    <row r="90" spans="2:20">
      <c r="B90" s="125" t="s">
        <v>291</v>
      </c>
      <c r="C90" s="13"/>
      <c r="D90" s="160"/>
      <c r="E90" s="160"/>
      <c r="F90" s="178">
        <v>0.3</v>
      </c>
      <c r="G90" s="179">
        <f>F90*(1+$R$90)</f>
        <v>0.29398375887802669</v>
      </c>
      <c r="H90" s="179">
        <f t="shared" ref="H90:N90" si="47">G90*(1+$R$90)</f>
        <v>0.28808816828017914</v>
      </c>
      <c r="I90" s="179">
        <f t="shared" si="47"/>
        <v>0.28231080866430852</v>
      </c>
      <c r="J90" s="179">
        <f t="shared" si="47"/>
        <v>0.27664930901009605</v>
      </c>
      <c r="K90" s="179">
        <f t="shared" si="47"/>
        <v>0.27110134584598927</v>
      </c>
      <c r="L90" s="179">
        <f t="shared" si="47"/>
        <v>0.26566464229565279</v>
      </c>
      <c r="M90" s="179">
        <f t="shared" si="47"/>
        <v>0.26033696714354132</v>
      </c>
      <c r="N90" s="179">
        <f t="shared" si="47"/>
        <v>0.25511613391921206</v>
      </c>
      <c r="O90" s="170">
        <v>0.25</v>
      </c>
      <c r="P90" s="13"/>
      <c r="Q90" s="319"/>
      <c r="R90" s="491">
        <f>(O90/$F$90)^(1/COLUMNS(G90:O90))-1</f>
        <v>-2.0054137073244327E-2</v>
      </c>
      <c r="S90" s="492"/>
      <c r="T90" s="13"/>
    </row>
    <row r="91" spans="2:20" s="136" customFormat="1">
      <c r="B91" s="229" t="s">
        <v>315</v>
      </c>
      <c r="C91" s="230"/>
      <c r="D91" s="230"/>
      <c r="E91" s="231"/>
      <c r="F91" s="230"/>
      <c r="G91" s="230"/>
      <c r="H91" s="230"/>
      <c r="I91" s="230"/>
      <c r="J91" s="230"/>
      <c r="K91" s="230"/>
      <c r="L91" s="230"/>
      <c r="M91" s="230"/>
      <c r="N91" s="230"/>
      <c r="O91" s="230"/>
      <c r="P91" s="13"/>
      <c r="Q91" s="319"/>
      <c r="R91" s="13"/>
      <c r="S91" s="413"/>
      <c r="T91" s="221"/>
    </row>
    <row r="92" spans="2:20" s="136" customFormat="1" ht="15" customHeight="1">
      <c r="B92" s="125" t="s">
        <v>290</v>
      </c>
      <c r="C92" s="13"/>
      <c r="D92" s="13"/>
      <c r="E92" s="14"/>
      <c r="F92" s="202">
        <f>1000*52.1429</f>
        <v>52142.899999999994</v>
      </c>
      <c r="G92" s="115">
        <f>F92*(1+$R$92)</f>
        <v>70448.538522095972</v>
      </c>
      <c r="H92" s="115">
        <f t="shared" ref="H92:N92" si="48">G92*(1+$R$92)</f>
        <v>95180.678096140429</v>
      </c>
      <c r="I92" s="115">
        <f t="shared" si="48"/>
        <v>128595.44957060627</v>
      </c>
      <c r="J92" s="115">
        <f t="shared" si="48"/>
        <v>173741.03632212838</v>
      </c>
      <c r="K92" s="115">
        <f t="shared" si="48"/>
        <v>234735.73756366328</v>
      </c>
      <c r="L92" s="115">
        <f t="shared" si="48"/>
        <v>317143.65043498436</v>
      </c>
      <c r="M92" s="115">
        <f t="shared" si="48"/>
        <v>428482.24158432189</v>
      </c>
      <c r="N92" s="115">
        <f t="shared" si="48"/>
        <v>578908.11025637505</v>
      </c>
      <c r="O92" s="165">
        <f>15000*52.1429</f>
        <v>782143.5</v>
      </c>
      <c r="P92" s="14"/>
      <c r="Q92" s="319"/>
      <c r="R92" s="491">
        <f>(O92/$F$93)^(1/COLUMNS(G92:O92))-1</f>
        <v>0.35106675160177092</v>
      </c>
      <c r="S92" s="492"/>
      <c r="T92" s="221"/>
    </row>
    <row r="93" spans="2:20" s="136" customFormat="1">
      <c r="B93" s="95" t="s">
        <v>192</v>
      </c>
      <c r="C93" s="13"/>
      <c r="D93" s="13"/>
      <c r="E93" s="14"/>
      <c r="F93" s="202">
        <f>1000*52.1429</f>
        <v>52142.899999999994</v>
      </c>
      <c r="G93" s="202">
        <f t="shared" ref="G93:N93" si="49">F93*(1+$R$93)</f>
        <v>68723.332150990653</v>
      </c>
      <c r="H93" s="202">
        <f t="shared" si="49"/>
        <v>90576.020549976805</v>
      </c>
      <c r="I93" s="202">
        <f t="shared" si="49"/>
        <v>119377.44055606825</v>
      </c>
      <c r="J93" s="202">
        <f t="shared" si="49"/>
        <v>157337.1542179246</v>
      </c>
      <c r="K93" s="202">
        <f t="shared" si="49"/>
        <v>207367.32151472344</v>
      </c>
      <c r="L93" s="202">
        <f t="shared" si="49"/>
        <v>273306.11288819014</v>
      </c>
      <c r="M93" s="202">
        <f t="shared" si="49"/>
        <v>360212.16263213666</v>
      </c>
      <c r="N93" s="202">
        <f t="shared" si="49"/>
        <v>474752.6527560798</v>
      </c>
      <c r="O93" s="165">
        <f>12000*52.1429</f>
        <v>625714.79999999993</v>
      </c>
      <c r="P93" s="14"/>
      <c r="Q93" s="319"/>
      <c r="R93" s="491">
        <f>(O93/$F$93)^(1/COLUMNS(G93:O93))-1</f>
        <v>0.3179806292130023</v>
      </c>
      <c r="S93" s="492"/>
      <c r="T93" s="221"/>
    </row>
    <row r="94" spans="2:20" s="136" customFormat="1" ht="15" customHeight="1">
      <c r="B94" s="95" t="s">
        <v>291</v>
      </c>
      <c r="C94" s="13"/>
      <c r="D94" s="13"/>
      <c r="E94" s="14"/>
      <c r="F94" s="202">
        <f>1000*52.1429</f>
        <v>52142.899999999994</v>
      </c>
      <c r="G94" s="115">
        <f>F94*(1+$R$94)</f>
        <v>66561.350787682182</v>
      </c>
      <c r="H94" s="115">
        <f t="shared" ref="H94:N94" si="50">G94*(1+$R$94)</f>
        <v>84966.762851335079</v>
      </c>
      <c r="I94" s="115">
        <f t="shared" si="50"/>
        <v>108461.60277701313</v>
      </c>
      <c r="J94" s="115">
        <f t="shared" si="50"/>
        <v>138453.18901394084</v>
      </c>
      <c r="K94" s="115">
        <f t="shared" si="50"/>
        <v>176737.98890414959</v>
      </c>
      <c r="L94" s="115">
        <f t="shared" si="50"/>
        <v>225609.22535874651</v>
      </c>
      <c r="M94" s="115">
        <f t="shared" si="50"/>
        <v>287994.23871784593</v>
      </c>
      <c r="N94" s="115">
        <f t="shared" si="50"/>
        <v>367629.83163824846</v>
      </c>
      <c r="O94" s="165">
        <f>9000*52.1429</f>
        <v>469286.1</v>
      </c>
      <c r="P94" s="14"/>
      <c r="Q94" s="319"/>
      <c r="R94" s="491">
        <f>(O94/$F$93)^(1/COLUMNS(G94:O94))-1</f>
        <v>0.27651800700924167</v>
      </c>
      <c r="S94" s="492"/>
      <c r="T94" s="221"/>
    </row>
    <row r="95" spans="2:20" s="136" customFormat="1">
      <c r="B95" s="223" t="s">
        <v>316</v>
      </c>
      <c r="C95" s="13"/>
      <c r="D95" s="13"/>
      <c r="E95" s="14">
        <v>30000</v>
      </c>
      <c r="F95" s="14">
        <f>E95*(1+$R$95)</f>
        <v>29400</v>
      </c>
      <c r="G95" s="14">
        <f t="shared" ref="G95:O95" si="51">F95*(1+$R$95)</f>
        <v>28812</v>
      </c>
      <c r="H95" s="14">
        <f t="shared" si="51"/>
        <v>28235.759999999998</v>
      </c>
      <c r="I95" s="14">
        <f t="shared" si="51"/>
        <v>27671.0448</v>
      </c>
      <c r="J95" s="14">
        <f t="shared" si="51"/>
        <v>27117.623904</v>
      </c>
      <c r="K95" s="14">
        <f t="shared" si="51"/>
        <v>26575.27142592</v>
      </c>
      <c r="L95" s="14">
        <f t="shared" si="51"/>
        <v>26043.765997401599</v>
      </c>
      <c r="M95" s="14">
        <f t="shared" si="51"/>
        <v>25522.890677453568</v>
      </c>
      <c r="N95" s="14">
        <f t="shared" si="51"/>
        <v>25012.432863904498</v>
      </c>
      <c r="O95" s="14">
        <f t="shared" si="51"/>
        <v>24512.184206626407</v>
      </c>
      <c r="P95" s="14"/>
      <c r="Q95" s="319"/>
      <c r="R95" s="493">
        <v>-0.02</v>
      </c>
      <c r="S95" s="494"/>
      <c r="T95" s="13"/>
    </row>
    <row r="96" spans="2:20" s="136" customFormat="1">
      <c r="B96" s="223" t="s">
        <v>313</v>
      </c>
      <c r="P96" s="13"/>
      <c r="Q96" s="319"/>
      <c r="R96" s="13"/>
      <c r="S96" s="145"/>
      <c r="T96" s="13"/>
    </row>
    <row r="97" spans="2:20" s="136" customFormat="1">
      <c r="B97" s="125" t="s">
        <v>290</v>
      </c>
      <c r="E97" s="224"/>
      <c r="F97" s="228">
        <v>410</v>
      </c>
      <c r="G97" s="225">
        <f>F97*(1+$R$97)</f>
        <v>397.7</v>
      </c>
      <c r="H97" s="225">
        <f t="shared" ref="H97:O97" si="52">G97*(1+$R$97)</f>
        <v>385.76900000000001</v>
      </c>
      <c r="I97" s="225">
        <f t="shared" si="52"/>
        <v>374.19592999999998</v>
      </c>
      <c r="J97" s="225">
        <f t="shared" si="52"/>
        <v>362.97005209999998</v>
      </c>
      <c r="K97" s="225">
        <f t="shared" si="52"/>
        <v>352.08095053699998</v>
      </c>
      <c r="L97" s="225">
        <f t="shared" si="52"/>
        <v>341.51852202088998</v>
      </c>
      <c r="M97" s="225">
        <f t="shared" si="52"/>
        <v>331.27296636026324</v>
      </c>
      <c r="N97" s="225">
        <f t="shared" si="52"/>
        <v>321.33477736945531</v>
      </c>
      <c r="O97" s="225">
        <f t="shared" si="52"/>
        <v>311.69473404837163</v>
      </c>
      <c r="P97" s="14"/>
      <c r="Q97" s="319"/>
      <c r="R97" s="493">
        <v>-0.03</v>
      </c>
      <c r="S97" s="494"/>
      <c r="T97" s="13"/>
    </row>
    <row r="98" spans="2:20" s="136" customFormat="1" ht="15" customHeight="1">
      <c r="B98" s="95" t="s">
        <v>192</v>
      </c>
      <c r="F98" s="228">
        <v>410</v>
      </c>
      <c r="G98" s="225">
        <f>F98*(1+$R$98)</f>
        <v>401.8</v>
      </c>
      <c r="H98" s="225">
        <f t="shared" ref="H98:O98" si="53">G98*(1+$R$98)</f>
        <v>393.76400000000001</v>
      </c>
      <c r="I98" s="225">
        <f t="shared" si="53"/>
        <v>385.88871999999998</v>
      </c>
      <c r="J98" s="225">
        <f t="shared" si="53"/>
        <v>378.17094559999998</v>
      </c>
      <c r="K98" s="225">
        <f t="shared" si="53"/>
        <v>370.60752668799995</v>
      </c>
      <c r="L98" s="225">
        <f t="shared" si="53"/>
        <v>363.19537615423997</v>
      </c>
      <c r="M98" s="225">
        <f t="shared" si="53"/>
        <v>355.93146863115516</v>
      </c>
      <c r="N98" s="225">
        <f t="shared" si="53"/>
        <v>348.81283925853205</v>
      </c>
      <c r="O98" s="225">
        <f t="shared" si="53"/>
        <v>341.83658247336143</v>
      </c>
      <c r="P98" s="14"/>
      <c r="Q98" s="319"/>
      <c r="R98" s="493">
        <v>-0.02</v>
      </c>
      <c r="S98" s="494"/>
      <c r="T98" s="13"/>
    </row>
    <row r="99" spans="2:20" s="136" customFormat="1">
      <c r="B99" s="95" t="s">
        <v>291</v>
      </c>
      <c r="E99" s="224"/>
      <c r="F99" s="228">
        <v>410</v>
      </c>
      <c r="G99" s="225">
        <f>F99*(1+$R$99)</f>
        <v>405.9</v>
      </c>
      <c r="H99" s="225">
        <f t="shared" ref="H99:O99" si="54">G99*(1+$R$99)</f>
        <v>401.84099999999995</v>
      </c>
      <c r="I99" s="225">
        <f t="shared" si="54"/>
        <v>397.82258999999993</v>
      </c>
      <c r="J99" s="225">
        <f t="shared" si="54"/>
        <v>393.84436409999995</v>
      </c>
      <c r="K99" s="225">
        <f t="shared" si="54"/>
        <v>389.90592045899996</v>
      </c>
      <c r="L99" s="225">
        <f t="shared" si="54"/>
        <v>386.00686125440996</v>
      </c>
      <c r="M99" s="225">
        <f t="shared" si="54"/>
        <v>382.14679264186583</v>
      </c>
      <c r="N99" s="225">
        <f t="shared" si="54"/>
        <v>378.32532471544715</v>
      </c>
      <c r="O99" s="225">
        <f t="shared" si="54"/>
        <v>374.5420714682927</v>
      </c>
      <c r="P99" s="14"/>
      <c r="Q99" s="319"/>
      <c r="R99" s="493">
        <v>-0.01</v>
      </c>
      <c r="S99" s="494"/>
      <c r="T99" s="13"/>
    </row>
    <row r="100" spans="2:20" s="136" customFormat="1">
      <c r="B100" s="223" t="s">
        <v>314</v>
      </c>
      <c r="P100" s="14"/>
      <c r="Q100" s="319"/>
      <c r="R100" s="13"/>
      <c r="S100" s="145"/>
      <c r="T100" s="13"/>
    </row>
    <row r="101" spans="2:20" s="136" customFormat="1">
      <c r="B101" s="125" t="s">
        <v>290</v>
      </c>
      <c r="E101" s="16"/>
      <c r="F101" s="222">
        <f>E102*(1+$R$101)</f>
        <v>5584936.6999082081</v>
      </c>
      <c r="G101" s="222">
        <f>F101*(1+$R$101)</f>
        <v>10397172.647327196</v>
      </c>
      <c r="H101" s="222">
        <f t="shared" ref="H101:N101" si="55">G101*(1+$R$101)</f>
        <v>19355850.36444648</v>
      </c>
      <c r="I101" s="222">
        <f t="shared" si="55"/>
        <v>36033733.019442938</v>
      </c>
      <c r="J101" s="222">
        <f t="shared" si="55"/>
        <v>67082039.324993692</v>
      </c>
      <c r="K101" s="222">
        <f t="shared" si="55"/>
        <v>124882981.11028098</v>
      </c>
      <c r="L101" s="222">
        <f t="shared" si="55"/>
        <v>232487848.13225058</v>
      </c>
      <c r="M101" s="222">
        <f t="shared" si="55"/>
        <v>432809971.77216405</v>
      </c>
      <c r="N101" s="222">
        <f t="shared" si="55"/>
        <v>805738765.14553154</v>
      </c>
      <c r="O101" s="226">
        <v>1500000000</v>
      </c>
      <c r="P101" s="14"/>
      <c r="Q101" s="319"/>
      <c r="R101" s="491">
        <f>(O101/E102)^(1/COLUMNS(F101:O101))-1</f>
        <v>0.86164556663606939</v>
      </c>
      <c r="S101" s="492"/>
      <c r="T101" s="13"/>
    </row>
    <row r="102" spans="2:20" s="136" customFormat="1" ht="15" customHeight="1">
      <c r="B102" s="95" t="s">
        <v>192</v>
      </c>
      <c r="E102" s="227">
        <v>3000000</v>
      </c>
      <c r="F102" s="222">
        <f>E102*(1+R102)</f>
        <v>5484033.8974264283</v>
      </c>
      <c r="G102" s="222">
        <f t="shared" ref="G102:N102" si="56">F102*(1+$R$102)</f>
        <v>10024875.929374034</v>
      </c>
      <c r="H102" s="222">
        <f t="shared" si="56"/>
        <v>18325586.471393824</v>
      </c>
      <c r="I102" s="222">
        <f t="shared" si="56"/>
        <v>33499379.133114301</v>
      </c>
      <c r="J102" s="222">
        <f t="shared" si="56"/>
        <v>61237243.569579467</v>
      </c>
      <c r="K102" s="222">
        <f t="shared" si="56"/>
        <v>111942373.17351079</v>
      </c>
      <c r="L102" s="222">
        <f t="shared" si="56"/>
        <v>204631923.01396403</v>
      </c>
      <c r="M102" s="222">
        <f t="shared" si="56"/>
        <v>374069467.43471134</v>
      </c>
      <c r="N102" s="222">
        <f t="shared" si="56"/>
        <v>683803213.13473618</v>
      </c>
      <c r="O102" s="226">
        <v>1250000000</v>
      </c>
      <c r="P102" s="14"/>
      <c r="Q102" s="319"/>
      <c r="R102" s="491">
        <f>(O102/E102)^(1/COLUMNS(F102:O102))-1</f>
        <v>0.82801129914214289</v>
      </c>
      <c r="S102" s="492"/>
      <c r="T102" s="13"/>
    </row>
    <row r="103" spans="2:20" s="136" customFormat="1">
      <c r="B103" s="95" t="s">
        <v>291</v>
      </c>
      <c r="E103" s="16"/>
      <c r="F103" s="222">
        <f>E102*(1+R103)</f>
        <v>5363016.4520934941</v>
      </c>
      <c r="G103" s="222">
        <f>F103*(1+$R$103)</f>
        <v>9587315.1551418286</v>
      </c>
      <c r="H103" s="222">
        <f t="shared" ref="H103:N103" si="57">G103*(1+$R$103)</f>
        <v>17138976.302810304</v>
      </c>
      <c r="I103" s="222">
        <f t="shared" si="57"/>
        <v>30638870.628004059</v>
      </c>
      <c r="J103" s="222">
        <f t="shared" si="57"/>
        <v>54772255.750516631</v>
      </c>
      <c r="K103" s="222">
        <f t="shared" si="57"/>
        <v>97914836.236097723</v>
      </c>
      <c r="L103" s="222">
        <f t="shared" si="57"/>
        <v>175039625.87941074</v>
      </c>
      <c r="M103" s="222">
        <f t="shared" si="57"/>
        <v>312913464.45318997</v>
      </c>
      <c r="N103" s="222">
        <f t="shared" si="57"/>
        <v>559386685.98134351</v>
      </c>
      <c r="O103" s="226">
        <v>1000000000</v>
      </c>
      <c r="P103" s="14"/>
      <c r="Q103" s="319"/>
      <c r="R103" s="491">
        <f>(O103/E102)^(1/COLUMNS(F103:O103))-1</f>
        <v>0.78767215069783125</v>
      </c>
      <c r="S103" s="492"/>
      <c r="T103" s="13"/>
    </row>
    <row r="104" spans="2:20" s="136" customFormat="1">
      <c r="B104" s="223" t="s">
        <v>319</v>
      </c>
      <c r="E104" s="16"/>
      <c r="P104" s="13"/>
      <c r="Q104" s="319"/>
      <c r="R104" s="13"/>
      <c r="S104" s="145"/>
      <c r="T104" s="13"/>
    </row>
    <row r="105" spans="2:20" ht="15" customHeight="1">
      <c r="B105" s="125" t="s">
        <v>290</v>
      </c>
      <c r="F105" s="146">
        <v>0.1</v>
      </c>
      <c r="G105" s="140">
        <f>F105*(1+R105)</f>
        <v>0.11071731788899111</v>
      </c>
      <c r="H105" s="140">
        <f t="shared" ref="H105:N105" si="58">G105*(1+$R$105)</f>
        <v>0.12258324480531911</v>
      </c>
      <c r="I105" s="140">
        <f t="shared" si="58"/>
        <v>0.13572088082974534</v>
      </c>
      <c r="J105" s="140">
        <f t="shared" si="58"/>
        <v>0.15026651907000793</v>
      </c>
      <c r="K105" s="140">
        <f t="shared" si="58"/>
        <v>0.16637105959946213</v>
      </c>
      <c r="L105" s="140">
        <f t="shared" si="58"/>
        <v>0.18420157493201936</v>
      </c>
      <c r="M105" s="140">
        <f t="shared" si="58"/>
        <v>0.20394304327401203</v>
      </c>
      <c r="N105" s="140">
        <f t="shared" si="58"/>
        <v>0.2258002675341706</v>
      </c>
      <c r="O105" s="146">
        <f>O30</f>
        <v>0.25</v>
      </c>
      <c r="P105" s="13"/>
      <c r="Q105" s="319"/>
      <c r="R105" s="491">
        <f>(O105/F105)^(1/COLUMNS(G105:O105))-1</f>
        <v>0.10717317888991107</v>
      </c>
      <c r="S105" s="492"/>
      <c r="T105" s="13"/>
    </row>
    <row r="106" spans="2:20" ht="15" customHeight="1">
      <c r="B106" s="95" t="s">
        <v>192</v>
      </c>
      <c r="F106" s="146">
        <v>0.1</v>
      </c>
      <c r="G106" s="140">
        <f>F106*(1+$R$106)</f>
        <v>0.10674894993881945</v>
      </c>
      <c r="H106" s="140">
        <f t="shared" ref="H106:N106" si="59">G106*(1+$R$106)</f>
        <v>0.1139533831304058</v>
      </c>
      <c r="I106" s="140">
        <f t="shared" si="59"/>
        <v>0.12164403991146802</v>
      </c>
      <c r="J106" s="140">
        <f t="shared" si="59"/>
        <v>0.12985373526865054</v>
      </c>
      <c r="K106" s="140">
        <f t="shared" si="59"/>
        <v>0.13861749885561891</v>
      </c>
      <c r="L106" s="140">
        <f t="shared" si="59"/>
        <v>0.14797272445982826</v>
      </c>
      <c r="M106" s="140">
        <f t="shared" si="59"/>
        <v>0.15795932955672931</v>
      </c>
      <c r="N106" s="140">
        <f t="shared" si="59"/>
        <v>0.16861992563220782</v>
      </c>
      <c r="O106" s="232">
        <f>AVERAGE(O105,O107)</f>
        <v>0.18</v>
      </c>
      <c r="P106" s="13"/>
      <c r="Q106" s="319"/>
      <c r="R106" s="491">
        <f t="shared" ref="R106:R107" si="60">(O106/F106)^(1/COLUMNS(G106:O106))-1</f>
        <v>6.7489499388194485E-2</v>
      </c>
      <c r="S106" s="492"/>
      <c r="T106" s="13"/>
    </row>
    <row r="107" spans="2:20" ht="15" customHeight="1">
      <c r="B107" s="95" t="s">
        <v>291</v>
      </c>
      <c r="F107" s="146">
        <v>0.1</v>
      </c>
      <c r="G107" s="140">
        <f>F107*(1+$R$107)</f>
        <v>0.10106462927075109</v>
      </c>
      <c r="H107" s="140">
        <f t="shared" ref="H107:N107" si="61">G107*(1+$R$107)</f>
        <v>0.10214059289634357</v>
      </c>
      <c r="I107" s="140">
        <f t="shared" si="61"/>
        <v>0.10322801154563675</v>
      </c>
      <c r="J107" s="140">
        <f t="shared" si="61"/>
        <v>0.10432700717216591</v>
      </c>
      <c r="K107" s="140">
        <f t="shared" si="61"/>
        <v>0.10543770302781937</v>
      </c>
      <c r="L107" s="140">
        <f t="shared" si="61"/>
        <v>0.10656022367666113</v>
      </c>
      <c r="M107" s="140">
        <f t="shared" si="61"/>
        <v>0.10769469500890068</v>
      </c>
      <c r="N107" s="140">
        <f t="shared" si="61"/>
        <v>0.10884124425501154</v>
      </c>
      <c r="O107" s="232">
        <v>0.11</v>
      </c>
      <c r="P107" s="13"/>
      <c r="Q107" s="319"/>
      <c r="R107" s="491">
        <f t="shared" si="60"/>
        <v>1.0646292707510829E-2</v>
      </c>
      <c r="S107" s="492"/>
      <c r="T107" s="13"/>
    </row>
    <row r="108" spans="2:20">
      <c r="B108" s="223" t="s">
        <v>317</v>
      </c>
      <c r="P108" s="13"/>
      <c r="Q108" s="319"/>
      <c r="R108" s="13"/>
      <c r="S108" s="145"/>
      <c r="T108" s="13"/>
    </row>
    <row r="109" spans="2:20">
      <c r="P109" s="13"/>
      <c r="Q109" s="319"/>
      <c r="R109" s="13"/>
      <c r="S109" s="145"/>
      <c r="T109" s="13"/>
    </row>
    <row r="110" spans="2:20" s="55" customFormat="1">
      <c r="B110" s="56" t="s">
        <v>331</v>
      </c>
      <c r="C110" s="56">
        <v>2018</v>
      </c>
      <c r="D110" s="56">
        <v>2019</v>
      </c>
      <c r="E110" s="56">
        <v>2020</v>
      </c>
      <c r="F110" s="253">
        <v>2021</v>
      </c>
      <c r="G110" s="253">
        <v>2022</v>
      </c>
      <c r="H110" s="253">
        <v>2023</v>
      </c>
      <c r="I110" s="253">
        <v>2024</v>
      </c>
      <c r="J110" s="253">
        <v>2025</v>
      </c>
      <c r="K110" s="253">
        <v>2026</v>
      </c>
      <c r="L110" s="253">
        <v>2027</v>
      </c>
      <c r="M110" s="253">
        <v>2028</v>
      </c>
      <c r="N110" s="253">
        <v>2029</v>
      </c>
      <c r="O110" s="253">
        <v>2030</v>
      </c>
      <c r="P110" s="151"/>
      <c r="Q110" s="412"/>
      <c r="R110" s="151"/>
      <c r="S110" s="414"/>
      <c r="T110" s="151"/>
    </row>
    <row r="111" spans="2:20" s="55" customFormat="1">
      <c r="B111" s="151"/>
      <c r="C111" s="151"/>
      <c r="D111" s="151"/>
      <c r="E111" s="151"/>
      <c r="F111" s="254"/>
      <c r="G111" s="254"/>
      <c r="H111" s="254"/>
      <c r="I111" s="254"/>
      <c r="J111" s="254"/>
      <c r="K111" s="254"/>
      <c r="L111" s="254"/>
      <c r="M111" s="254"/>
      <c r="N111" s="254"/>
      <c r="O111" s="254"/>
      <c r="P111" s="151"/>
      <c r="Q111" s="412"/>
      <c r="R111" s="151"/>
      <c r="S111" s="414"/>
      <c r="T111" s="151"/>
    </row>
    <row r="112" spans="2:20">
      <c r="B112" s="143" t="s">
        <v>333</v>
      </c>
      <c r="P112" s="13"/>
      <c r="Q112" s="319"/>
      <c r="R112" s="13"/>
      <c r="S112" s="145"/>
      <c r="T112" s="13"/>
    </row>
    <row r="113" spans="2:20" s="247" customFormat="1">
      <c r="B113" s="125" t="s">
        <v>290</v>
      </c>
      <c r="F113" s="80">
        <f t="shared" ref="F113:O113" si="62">F117*F60/1000000</f>
        <v>5784.5021983676988</v>
      </c>
      <c r="G113" s="80">
        <f t="shared" si="62"/>
        <v>7946.8605996936758</v>
      </c>
      <c r="H113" s="80">
        <f t="shared" si="62"/>
        <v>10917.550244649308</v>
      </c>
      <c r="I113" s="80">
        <f t="shared" si="62"/>
        <v>14998.740930353888</v>
      </c>
      <c r="J113" s="80">
        <f t="shared" si="62"/>
        <v>20605.559347540166</v>
      </c>
      <c r="K113" s="80">
        <f t="shared" si="62"/>
        <v>28308.314544305016</v>
      </c>
      <c r="L113" s="80">
        <f t="shared" si="62"/>
        <v>38890.508081983957</v>
      </c>
      <c r="M113" s="80">
        <f t="shared" si="62"/>
        <v>53428.529505269813</v>
      </c>
      <c r="N113" s="80">
        <f t="shared" si="62"/>
        <v>73401.143514961834</v>
      </c>
      <c r="O113" s="80">
        <f t="shared" si="62"/>
        <v>100839.90555593745</v>
      </c>
      <c r="P113" s="13"/>
      <c r="Q113" s="319"/>
      <c r="R113" s="13"/>
      <c r="S113" s="145"/>
      <c r="T113" s="13"/>
    </row>
    <row r="114" spans="2:20" s="247" customFormat="1">
      <c r="B114" s="95" t="s">
        <v>192</v>
      </c>
      <c r="C114" s="107">
        <f>-(CFS!J21)</f>
        <v>2319</v>
      </c>
      <c r="D114" s="107">
        <f>-(CFS!K21)</f>
        <v>1432</v>
      </c>
      <c r="E114" s="107">
        <f>-(CFS!L21)</f>
        <v>3232</v>
      </c>
      <c r="F114" s="80">
        <f t="shared" ref="F114:O114" si="63">F118*F61/1000000</f>
        <v>5573.5918358470744</v>
      </c>
      <c r="G114" s="80">
        <f t="shared" si="63"/>
        <v>7610.9068583921835</v>
      </c>
      <c r="H114" s="80">
        <f t="shared" si="63"/>
        <v>10392.921640685156</v>
      </c>
      <c r="I114" s="80">
        <f t="shared" si="63"/>
        <v>14191.846285744685</v>
      </c>
      <c r="J114" s="80">
        <f t="shared" si="63"/>
        <v>19379.391855486683</v>
      </c>
      <c r="K114" s="80">
        <f t="shared" si="63"/>
        <v>26463.14095620835</v>
      </c>
      <c r="L114" s="80">
        <f t="shared" si="63"/>
        <v>36136.212864176334</v>
      </c>
      <c r="M114" s="80">
        <f t="shared" si="63"/>
        <v>49345.08274456027</v>
      </c>
      <c r="N114" s="80">
        <f t="shared" si="63"/>
        <v>67382.190829448475</v>
      </c>
      <c r="O114" s="80">
        <f t="shared" si="63"/>
        <v>92012.403028683315</v>
      </c>
      <c r="P114" s="13"/>
      <c r="Q114" s="319"/>
      <c r="R114" s="13"/>
      <c r="S114" s="145"/>
      <c r="T114" s="13"/>
    </row>
    <row r="115" spans="2:20" s="247" customFormat="1">
      <c r="B115" s="95" t="s">
        <v>291</v>
      </c>
      <c r="F115" s="80">
        <f t="shared" ref="F115:O115" si="64">F119*F62/1000000</f>
        <v>5250.3368598004445</v>
      </c>
      <c r="G115" s="80">
        <f t="shared" si="64"/>
        <v>6960.4243781982468</v>
      </c>
      <c r="H115" s="80">
        <f t="shared" si="64"/>
        <v>9227.504599858732</v>
      </c>
      <c r="I115" s="80">
        <f t="shared" si="64"/>
        <v>12232.995649965656</v>
      </c>
      <c r="J115" s="80">
        <f t="shared" si="64"/>
        <v>16217.405361615278</v>
      </c>
      <c r="K115" s="80">
        <f t="shared" si="64"/>
        <v>21499.577387954552</v>
      </c>
      <c r="L115" s="80">
        <f t="shared" si="64"/>
        <v>28502.20596660276</v>
      </c>
      <c r="M115" s="80">
        <f t="shared" si="64"/>
        <v>37785.661099449855</v>
      </c>
      <c r="N115" s="80">
        <f t="shared" si="64"/>
        <v>50092.830933698271</v>
      </c>
      <c r="O115" s="80">
        <f t="shared" si="64"/>
        <v>66408.569757394391</v>
      </c>
      <c r="P115" s="13"/>
      <c r="Q115" s="319"/>
      <c r="R115" s="13"/>
      <c r="S115" s="145"/>
      <c r="T115" s="13"/>
    </row>
    <row r="116" spans="2:20">
      <c r="B116" s="143" t="s">
        <v>332</v>
      </c>
      <c r="C116" s="247"/>
      <c r="D116" s="247"/>
      <c r="E116" s="247"/>
      <c r="F116" s="247"/>
      <c r="G116" s="247"/>
      <c r="H116" s="247"/>
      <c r="I116" s="247"/>
      <c r="J116" s="247"/>
      <c r="K116" s="247"/>
      <c r="L116" s="247"/>
      <c r="M116" s="247"/>
      <c r="N116" s="247"/>
      <c r="O116" s="247"/>
      <c r="P116" s="13"/>
      <c r="Q116" s="319"/>
      <c r="R116" s="13"/>
      <c r="S116" s="145"/>
      <c r="T116" s="13"/>
    </row>
    <row r="117" spans="2:20">
      <c r="B117" s="125" t="s">
        <v>290</v>
      </c>
      <c r="C117" s="80"/>
      <c r="D117" s="80"/>
      <c r="E117" s="80"/>
      <c r="F117" s="165">
        <v>8000</v>
      </c>
      <c r="G117" s="80">
        <f>F117*(1+$R$117)</f>
        <v>7600</v>
      </c>
      <c r="H117" s="80">
        <f t="shared" ref="H117:O117" si="65">G117*(1+$R$117)</f>
        <v>7220</v>
      </c>
      <c r="I117" s="80">
        <f t="shared" si="65"/>
        <v>6859</v>
      </c>
      <c r="J117" s="80">
        <f t="shared" si="65"/>
        <v>6516.0499999999993</v>
      </c>
      <c r="K117" s="80">
        <f t="shared" si="65"/>
        <v>6190.2474999999986</v>
      </c>
      <c r="L117" s="80">
        <f t="shared" si="65"/>
        <v>5880.7351249999983</v>
      </c>
      <c r="M117" s="80">
        <f t="shared" si="65"/>
        <v>5586.6983687499978</v>
      </c>
      <c r="N117" s="80">
        <f t="shared" si="65"/>
        <v>5307.3634503124977</v>
      </c>
      <c r="O117" s="80">
        <f t="shared" si="65"/>
        <v>5041.9952777968729</v>
      </c>
      <c r="P117" s="13"/>
      <c r="Q117" s="319"/>
      <c r="R117" s="493">
        <v>-0.05</v>
      </c>
      <c r="S117" s="494"/>
      <c r="T117" s="13"/>
    </row>
    <row r="118" spans="2:20">
      <c r="B118" s="95" t="s">
        <v>192</v>
      </c>
      <c r="C118" s="105">
        <f>C114/C61*1000000</f>
        <v>9457.5856443719404</v>
      </c>
      <c r="D118" s="105">
        <f>D114/D61*1000000</f>
        <v>3895.538628944505</v>
      </c>
      <c r="E118" s="105">
        <f>E114/E61*1000000</f>
        <v>6464</v>
      </c>
      <c r="F118" s="165">
        <v>8000</v>
      </c>
      <c r="G118" s="80">
        <f>F118*(1+$R$118)</f>
        <v>7840</v>
      </c>
      <c r="H118" s="80">
        <f t="shared" ref="H118:O118" si="66">G118*(1+$R$118)</f>
        <v>7683.2</v>
      </c>
      <c r="I118" s="80">
        <f t="shared" si="66"/>
        <v>7529.5360000000001</v>
      </c>
      <c r="J118" s="80">
        <f t="shared" si="66"/>
        <v>7378.9452799999999</v>
      </c>
      <c r="K118" s="80">
        <f t="shared" si="66"/>
        <v>7231.3663743999996</v>
      </c>
      <c r="L118" s="80">
        <f t="shared" si="66"/>
        <v>7086.7390469119991</v>
      </c>
      <c r="M118" s="80">
        <f t="shared" si="66"/>
        <v>6945.0042659737592</v>
      </c>
      <c r="N118" s="80">
        <f t="shared" si="66"/>
        <v>6806.1041806542835</v>
      </c>
      <c r="O118" s="80">
        <f t="shared" si="66"/>
        <v>6669.9820970411974</v>
      </c>
      <c r="P118" s="13"/>
      <c r="Q118" s="319"/>
      <c r="R118" s="493">
        <v>-0.02</v>
      </c>
      <c r="S118" s="494"/>
      <c r="T118" s="13"/>
    </row>
    <row r="119" spans="2:20">
      <c r="B119" s="95" t="s">
        <v>291</v>
      </c>
      <c r="C119" s="80"/>
      <c r="D119" s="80"/>
      <c r="E119" s="80"/>
      <c r="F119" s="165">
        <v>8000</v>
      </c>
      <c r="G119" s="80">
        <f>F119*(1+$R$119)</f>
        <v>8080</v>
      </c>
      <c r="H119" s="80">
        <f t="shared" ref="H119:O119" si="67">G119*(1+$R$119)</f>
        <v>8160.8</v>
      </c>
      <c r="I119" s="80">
        <f t="shared" si="67"/>
        <v>8242.4079999999994</v>
      </c>
      <c r="J119" s="80">
        <f t="shared" si="67"/>
        <v>8324.8320800000001</v>
      </c>
      <c r="K119" s="80">
        <f t="shared" si="67"/>
        <v>8408.0804007999996</v>
      </c>
      <c r="L119" s="80">
        <f t="shared" si="67"/>
        <v>8492.1612048079987</v>
      </c>
      <c r="M119" s="80">
        <f t="shared" si="67"/>
        <v>8577.0828168560784</v>
      </c>
      <c r="N119" s="80">
        <f t="shared" si="67"/>
        <v>8662.8536450246393</v>
      </c>
      <c r="O119" s="80">
        <f t="shared" si="67"/>
        <v>8749.4821814748866</v>
      </c>
      <c r="P119" s="13"/>
      <c r="Q119" s="319"/>
      <c r="R119" s="493">
        <v>0.01</v>
      </c>
      <c r="S119" s="494"/>
      <c r="T119" s="13"/>
    </row>
    <row r="120" spans="2:20">
      <c r="B120" s="143" t="s">
        <v>334</v>
      </c>
      <c r="P120" s="13"/>
      <c r="Q120" s="319"/>
      <c r="R120" s="13"/>
      <c r="S120" s="145"/>
      <c r="T120" s="13"/>
    </row>
    <row r="121" spans="2:20">
      <c r="B121" s="125" t="s">
        <v>290</v>
      </c>
      <c r="F121" s="80">
        <f>F113+F41*$V$24</f>
        <v>6166.7847290639356</v>
      </c>
      <c r="G121" s="80">
        <f t="shared" ref="G121:N123" si="68">G113+G41*$V$24</f>
        <v>8563.3324850677418</v>
      </c>
      <c r="H121" s="80">
        <f t="shared" si="68"/>
        <v>11932.988826909512</v>
      </c>
      <c r="I121" s="80">
        <f t="shared" si="68"/>
        <v>16702.945598826544</v>
      </c>
      <c r="J121" s="80">
        <f t="shared" si="68"/>
        <v>23511.580886384356</v>
      </c>
      <c r="K121" s="80">
        <f t="shared" si="68"/>
        <v>33329.023007737</v>
      </c>
      <c r="L121" s="80">
        <f t="shared" si="68"/>
        <v>47656.360212127336</v>
      </c>
      <c r="M121" s="80">
        <f t="shared" si="68"/>
        <v>68859.964368115165</v>
      </c>
      <c r="N121" s="80">
        <f t="shared" si="68"/>
        <v>100740.3222107755</v>
      </c>
      <c r="O121" s="80">
        <f>O113+(O101*O97/1000000)*$V$24</f>
        <v>147594.1156631932</v>
      </c>
      <c r="P121" s="13"/>
      <c r="Q121" s="319"/>
      <c r="R121" s="13"/>
      <c r="S121" s="145"/>
      <c r="T121" s="13"/>
    </row>
    <row r="122" spans="2:20" ht="15" customHeight="1">
      <c r="B122" s="95" t="s">
        <v>192</v>
      </c>
      <c r="F122" s="80">
        <f>F114+F42*$V$24</f>
        <v>5951.7373516415582</v>
      </c>
      <c r="G122" s="80">
        <f t="shared" si="68"/>
        <v>8211.7120378278669</v>
      </c>
      <c r="H122" s="80">
        <f t="shared" si="68"/>
        <v>11370.265541617769</v>
      </c>
      <c r="I122" s="80">
        <f t="shared" si="68"/>
        <v>15814.879389765534</v>
      </c>
      <c r="J122" s="80">
        <f t="shared" si="68"/>
        <v>22121.867463571954</v>
      </c>
      <c r="K122" s="80">
        <f t="shared" si="68"/>
        <v>31162.893846962324</v>
      </c>
      <c r="L122" s="80">
        <f t="shared" si="68"/>
        <v>44280.141734370496</v>
      </c>
      <c r="M122" s="80">
        <f t="shared" si="68"/>
        <v>63578.757800726278</v>
      </c>
      <c r="N122" s="80">
        <f t="shared" si="68"/>
        <v>92421.596741614121</v>
      </c>
      <c r="O122" s="80">
        <f>O114+(O102*O98/1000000)*$V$24</f>
        <v>134741.9758378535</v>
      </c>
      <c r="P122" s="13"/>
      <c r="Q122" s="319"/>
      <c r="R122" s="13"/>
      <c r="S122" s="145"/>
      <c r="T122" s="13"/>
    </row>
    <row r="123" spans="2:20">
      <c r="B123" s="95" t="s">
        <v>291</v>
      </c>
      <c r="F123" s="80">
        <f>F115+F43*$V$24</f>
        <v>5623.5206603362776</v>
      </c>
      <c r="G123" s="80">
        <f t="shared" si="68"/>
        <v>7541.3500642349236</v>
      </c>
      <c r="H123" s="80">
        <f t="shared" si="68"/>
        <v>10156.129049893212</v>
      </c>
      <c r="I123" s="80">
        <f t="shared" si="68"/>
        <v>13752.00372370866</v>
      </c>
      <c r="J123" s="80">
        <f t="shared" si="68"/>
        <v>18750.031936052703</v>
      </c>
      <c r="K123" s="80">
        <f t="shared" si="68"/>
        <v>25787.020825517247</v>
      </c>
      <c r="L123" s="80">
        <f t="shared" si="68"/>
        <v>35846.42701189834</v>
      </c>
      <c r="M123" s="80">
        <f t="shared" si="68"/>
        <v>50478.593328027164</v>
      </c>
      <c r="N123" s="80">
        <f t="shared" si="68"/>
        <v>72175.377543499257</v>
      </c>
      <c r="O123" s="80">
        <f>O115+(O103*O99/1000000)*$V$24</f>
        <v>103862.77690422366</v>
      </c>
      <c r="P123" s="13"/>
      <c r="Q123" s="320"/>
      <c r="R123" s="57"/>
      <c r="S123" s="392"/>
      <c r="T123" s="13"/>
    </row>
    <row r="124" spans="2:20">
      <c r="Q124" s="13"/>
      <c r="R124" s="13"/>
      <c r="S124" s="13"/>
    </row>
  </sheetData>
  <mergeCells count="49">
    <mergeCell ref="R117:S117"/>
    <mergeCell ref="R118:S118"/>
    <mergeCell ref="R119:S119"/>
    <mergeCell ref="L3:M3"/>
    <mergeCell ref="L4:M5"/>
    <mergeCell ref="N3:O3"/>
    <mergeCell ref="N4:O5"/>
    <mergeCell ref="R103:S103"/>
    <mergeCell ref="R105:S105"/>
    <mergeCell ref="R106:S106"/>
    <mergeCell ref="R107:S107"/>
    <mergeCell ref="R76:S76"/>
    <mergeCell ref="R77:S77"/>
    <mergeCell ref="R78:S78"/>
    <mergeCell ref="R95:S95"/>
    <mergeCell ref="R97:S97"/>
    <mergeCell ref="R101:S101"/>
    <mergeCell ref="R102:S102"/>
    <mergeCell ref="R85:S85"/>
    <mergeCell ref="R86:S86"/>
    <mergeCell ref="R88:S88"/>
    <mergeCell ref="R89:S89"/>
    <mergeCell ref="R90:S90"/>
    <mergeCell ref="R98:S98"/>
    <mergeCell ref="R99:S99"/>
    <mergeCell ref="R92:S92"/>
    <mergeCell ref="R93:S93"/>
    <mergeCell ref="R94:S94"/>
    <mergeCell ref="R66:S66"/>
    <mergeCell ref="R80:S80"/>
    <mergeCell ref="R81:S81"/>
    <mergeCell ref="R82:S82"/>
    <mergeCell ref="R84:S84"/>
    <mergeCell ref="R60:S60"/>
    <mergeCell ref="R61:S61"/>
    <mergeCell ref="R62:S62"/>
    <mergeCell ref="R64:S64"/>
    <mergeCell ref="R65:S65"/>
    <mergeCell ref="R30:S30"/>
    <mergeCell ref="U26:V26"/>
    <mergeCell ref="U11:V12"/>
    <mergeCell ref="C5:D5"/>
    <mergeCell ref="C6:D6"/>
    <mergeCell ref="C7:D7"/>
    <mergeCell ref="C8:D8"/>
    <mergeCell ref="R24:S24"/>
    <mergeCell ref="K4:K5"/>
    <mergeCell ref="K8:O8"/>
    <mergeCell ref="K7:O7"/>
  </mergeCells>
  <conditionalFormatting sqref="B52">
    <cfRule type="expression" dxfId="11" priority="9">
      <formula>#REF!=$B52</formula>
    </cfRule>
  </conditionalFormatting>
  <conditionalFormatting sqref="R52:S52">
    <cfRule type="expression" dxfId="10" priority="15">
      <formula>#REF!=$B52</formula>
    </cfRule>
  </conditionalFormatting>
  <conditionalFormatting sqref="G76:O77 G78:H78 J78:O78">
    <cfRule type="cellIs" dxfId="9" priority="7" operator="greaterThan">
      <formula>100%</formula>
    </cfRule>
  </conditionalFormatting>
  <conditionalFormatting sqref="R76">
    <cfRule type="cellIs" dxfId="8" priority="6" operator="greaterThan">
      <formula>100%</formula>
    </cfRule>
  </conditionalFormatting>
  <conditionalFormatting sqref="O88:O90">
    <cfRule type="cellIs" dxfId="7" priority="3" operator="greaterThan">
      <formula>100%</formula>
    </cfRule>
  </conditionalFormatting>
  <conditionalFormatting sqref="R117:R119 R97:R99 R95 R77:R78">
    <cfRule type="cellIs" dxfId="6" priority="1" operator="greaterThan">
      <formula>100%</formula>
    </cfRule>
  </conditionalFormatting>
  <dataValidations count="2">
    <dataValidation type="list" allowBlank="1" showInputMessage="1" showErrorMessage="1" sqref="C8" xr:uid="{51723110-5F0B-4E8E-A45D-CAEC496115A4}">
      <formula1>$B$25:$B$27</formula1>
    </dataValidation>
    <dataValidation type="list" allowBlank="1" showInputMessage="1" showErrorMessage="1" sqref="B2" xr:uid="{732C10EB-D203-4AFF-A537-3A73C128B16D}">
      <formula1>"$ Billions, $ Millions,$ Thousands"</formula1>
    </dataValidation>
  </dataValidations>
  <hyperlinks>
    <hyperlink ref="K8" r:id="rId1" xr:uid="{CF568BDE-EF86-40BF-AC92-040D0C9CC9F4}"/>
  </hyperlinks>
  <pageMargins left="0.7" right="0.7" top="0.75" bottom="0.75" header="0.3" footer="0.3"/>
  <pageSetup paperSize="9" orientation="portrait" r:id="rId2"/>
  <ignoredErrors>
    <ignoredError sqref="F20 G20:O20" formula="1"/>
  </ignoredErrors>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E4753-6BBC-4353-96D5-BE3290F47A00}">
  <sheetPr>
    <tabColor theme="7" tint="0.39997558519241921"/>
  </sheetPr>
  <dimension ref="A1:Z120"/>
  <sheetViews>
    <sheetView zoomScaleNormal="100" workbookViewId="0"/>
  </sheetViews>
  <sheetFormatPr defaultColWidth="9.140625" defaultRowHeight="15"/>
  <cols>
    <col min="1" max="1" width="1.7109375" style="249" customWidth="1"/>
    <col min="2" max="2" width="49.42578125" style="249" bestFit="1" customWidth="1"/>
    <col min="3" max="3" width="13.42578125" style="249" customWidth="1"/>
    <col min="4" max="14" width="12.7109375" style="249" customWidth="1"/>
    <col min="15" max="15" width="1.7109375" style="249" customWidth="1"/>
    <col min="16" max="16" width="12.140625" style="249" bestFit="1" customWidth="1"/>
    <col min="17" max="21" width="9.42578125" style="249" customWidth="1"/>
    <col min="22" max="16384" width="9.140625" style="249"/>
  </cols>
  <sheetData>
    <row r="1" spans="2:14" ht="15.75" thickBot="1">
      <c r="B1" s="298" t="str">
        <f>"Discounted Cash Flow Valuation for "&amp;Valuation!C3</f>
        <v>Discounted Cash Flow Valuation for Tesla</v>
      </c>
      <c r="C1" s="53"/>
      <c r="D1" s="53"/>
      <c r="E1" s="53"/>
      <c r="F1" s="53"/>
      <c r="G1" s="53"/>
      <c r="H1" s="53"/>
      <c r="I1" s="53"/>
      <c r="J1" s="96"/>
      <c r="K1" s="96"/>
      <c r="L1" s="96"/>
      <c r="M1" s="96"/>
      <c r="N1" s="96"/>
    </row>
    <row r="2" spans="2:14" ht="15.75" thickBot="1">
      <c r="B2" s="299" t="str">
        <f>'[1]Financials '!$B$3</f>
        <v xml:space="preserve">$ and shares in millions, except per share data </v>
      </c>
      <c r="I2" s="13"/>
      <c r="J2" s="13"/>
      <c r="K2" s="13"/>
      <c r="L2" s="13"/>
      <c r="M2" s="13"/>
      <c r="N2" s="13"/>
    </row>
    <row r="3" spans="2:14">
      <c r="B3" s="102" t="s">
        <v>190</v>
      </c>
      <c r="C3" s="520">
        <f>Valuation!C6</f>
        <v>44196</v>
      </c>
      <c r="D3" s="520"/>
      <c r="F3" s="249" t="s">
        <v>405</v>
      </c>
      <c r="H3" s="465">
        <v>0.15</v>
      </c>
      <c r="J3" s="531" t="str">
        <f>Valuation!C8</f>
        <v>Base case</v>
      </c>
      <c r="K3" s="515" t="s">
        <v>402</v>
      </c>
      <c r="L3" s="516"/>
      <c r="M3" s="507" t="s">
        <v>409</v>
      </c>
      <c r="N3" s="508"/>
    </row>
    <row r="4" spans="2:14">
      <c r="B4" s="249" t="s">
        <v>337</v>
      </c>
      <c r="C4" s="521">
        <f>EOMONTH(C3,12)</f>
        <v>44561</v>
      </c>
      <c r="D4" s="521"/>
      <c r="F4" s="249" t="s">
        <v>394</v>
      </c>
      <c r="H4" s="322">
        <f>Valuation!C5</f>
        <v>680.26</v>
      </c>
      <c r="J4" s="509" t="s">
        <v>408</v>
      </c>
      <c r="K4" s="510">
        <f ca="1">Valuation!L4</f>
        <v>838319.39113497629</v>
      </c>
      <c r="L4" s="511"/>
      <c r="M4" s="503">
        <f ca="1">Valuation!N4</f>
        <v>846.7743483255723</v>
      </c>
      <c r="N4" s="512"/>
    </row>
    <row r="5" spans="2:14" ht="15" customHeight="1" thickBot="1">
      <c r="B5" s="249" t="s">
        <v>338</v>
      </c>
      <c r="C5" s="522">
        <v>44377</v>
      </c>
      <c r="D5" s="522"/>
      <c r="F5"/>
      <c r="G5"/>
      <c r="H5"/>
      <c r="J5" s="490"/>
      <c r="K5" s="499"/>
      <c r="L5" s="500"/>
      <c r="M5" s="505"/>
      <c r="N5" s="506"/>
    </row>
    <row r="6" spans="2:14" ht="15" customHeight="1">
      <c r="B6" s="249" t="s">
        <v>339</v>
      </c>
      <c r="C6" s="521">
        <f ca="1">NOW()</f>
        <v>44430.379146412037</v>
      </c>
      <c r="D6" s="523"/>
      <c r="F6" s="249" t="s">
        <v>340</v>
      </c>
      <c r="H6" s="422">
        <v>1</v>
      </c>
      <c r="I6" s="13"/>
    </row>
    <row r="7" spans="2:14">
      <c r="B7" s="249" t="s">
        <v>341</v>
      </c>
      <c r="D7" s="118">
        <f ca="1">YEARFRAC(C6,C4)</f>
        <v>0.35833333333333334</v>
      </c>
    </row>
    <row r="8" spans="2:14" ht="15" customHeight="1">
      <c r="D8" s="300"/>
      <c r="F8" s="249" t="s">
        <v>395</v>
      </c>
      <c r="H8" s="321" t="str">
        <f>Valuation!C8</f>
        <v>Base case</v>
      </c>
      <c r="I8" s="13"/>
      <c r="J8" s="13"/>
      <c r="K8" s="13"/>
      <c r="L8" s="13"/>
      <c r="M8" s="13"/>
      <c r="N8" s="13"/>
    </row>
    <row r="9" spans="2:14">
      <c r="B9" s="151" t="s">
        <v>342</v>
      </c>
      <c r="C9" s="13"/>
      <c r="D9" s="337"/>
      <c r="E9" s="13"/>
      <c r="F9" s="13"/>
      <c r="G9" s="13"/>
      <c r="H9" s="13"/>
      <c r="I9" s="13"/>
      <c r="J9" s="13"/>
      <c r="K9" s="13"/>
      <c r="L9" s="13"/>
      <c r="M9" s="13"/>
      <c r="N9" s="13"/>
    </row>
    <row r="10" spans="2:14" ht="17.25" customHeight="1">
      <c r="B10" s="122"/>
      <c r="C10" s="338" t="s">
        <v>1</v>
      </c>
      <c r="D10" s="338" t="s">
        <v>343</v>
      </c>
      <c r="E10" s="339" t="s">
        <v>344</v>
      </c>
      <c r="F10" s="338"/>
      <c r="G10" s="340"/>
      <c r="H10" s="340"/>
      <c r="I10" s="340"/>
      <c r="J10" s="340"/>
      <c r="K10" s="340"/>
      <c r="L10" s="340"/>
      <c r="M10" s="340"/>
      <c r="N10" s="340"/>
    </row>
    <row r="11" spans="2:14">
      <c r="B11" s="58" t="s">
        <v>345</v>
      </c>
      <c r="C11" s="117">
        <f ca="1">C6</f>
        <v>44430.379146412037</v>
      </c>
      <c r="D11" s="117">
        <f>C3</f>
        <v>44196</v>
      </c>
      <c r="E11" s="117">
        <f>EOMONTH(D11,12)</f>
        <v>44561</v>
      </c>
      <c r="F11" s="117">
        <f>EOMONTH(E11,12)</f>
        <v>44926</v>
      </c>
      <c r="G11" s="117">
        <f t="shared" ref="G11:I11" si="0">EOMONTH(F11,12)</f>
        <v>45291</v>
      </c>
      <c r="H11" s="117">
        <f t="shared" si="0"/>
        <v>45657</v>
      </c>
      <c r="I11" s="117">
        <f t="shared" si="0"/>
        <v>46022</v>
      </c>
      <c r="J11" s="117">
        <f t="shared" ref="J11" si="1">EOMONTH(I11,12)</f>
        <v>46387</v>
      </c>
      <c r="K11" s="117">
        <f t="shared" ref="K11" si="2">EOMONTH(J11,12)</f>
        <v>46752</v>
      </c>
      <c r="L11" s="117">
        <f t="shared" ref="L11" si="3">EOMONTH(K11,12)</f>
        <v>47118</v>
      </c>
      <c r="M11" s="117">
        <f t="shared" ref="M11" si="4">EOMONTH(L11,12)</f>
        <v>47483</v>
      </c>
      <c r="N11" s="117">
        <f t="shared" ref="N11" si="5">EOMONTH(M11,12)</f>
        <v>47848</v>
      </c>
    </row>
    <row r="12" spans="2:14">
      <c r="B12" s="344"/>
      <c r="D12" s="301"/>
      <c r="E12" s="302"/>
      <c r="F12" s="302"/>
      <c r="G12" s="302"/>
      <c r="H12" s="302"/>
      <c r="I12" s="302"/>
      <c r="J12" s="302"/>
      <c r="K12" s="302"/>
      <c r="L12" s="302"/>
      <c r="M12" s="302"/>
      <c r="N12" s="302"/>
    </row>
    <row r="13" spans="2:14">
      <c r="B13" s="249" t="s">
        <v>163</v>
      </c>
      <c r="C13" s="325">
        <f ca="1">+E13*(1-$D$7)+D13*$D$7</f>
        <v>36574.767013382327</v>
      </c>
      <c r="D13" s="323">
        <f>FSM!E16</f>
        <v>31536</v>
      </c>
      <c r="E13" s="323">
        <f ca="1">FSM!F16</f>
        <v>39388.623916959477</v>
      </c>
      <c r="F13" s="323">
        <f ca="1">FSM!G16</f>
        <v>54065.292860513975</v>
      </c>
      <c r="G13" s="323">
        <f ca="1">FSM!H16</f>
        <v>78994.77034780338</v>
      </c>
      <c r="H13" s="323">
        <f ca="1">FSM!I16</f>
        <v>113969.93271969777</v>
      </c>
      <c r="I13" s="323">
        <f ca="1">FSM!J16</f>
        <v>164477.59237573631</v>
      </c>
      <c r="J13" s="323">
        <f ca="1">FSM!K16</f>
        <v>238930.95339509094</v>
      </c>
      <c r="K13" s="323">
        <f ca="1">FSM!L16</f>
        <v>350852.65570807573</v>
      </c>
      <c r="L13" s="323">
        <f ca="1">FSM!M16</f>
        <v>521268.77491085778</v>
      </c>
      <c r="M13" s="323">
        <f ca="1">FSM!N16</f>
        <v>786934.44778132089</v>
      </c>
      <c r="N13" s="323">
        <f ca="1">FSM!O16</f>
        <v>1209866.8859716333</v>
      </c>
    </row>
    <row r="14" spans="2:14">
      <c r="B14" s="66" t="s">
        <v>346</v>
      </c>
      <c r="C14" s="13"/>
      <c r="D14" s="13"/>
      <c r="E14" s="159">
        <f ca="1">E13/D13-1</f>
        <v>0.24900507093351965</v>
      </c>
      <c r="F14" s="159">
        <f ca="1">F13/E13-1</f>
        <v>0.372611873278345</v>
      </c>
      <c r="G14" s="159">
        <f ca="1">G13/F13-1</f>
        <v>0.46109946267388824</v>
      </c>
      <c r="H14" s="159">
        <f ca="1">H13/G13-1</f>
        <v>0.44275288374032162</v>
      </c>
      <c r="I14" s="159">
        <f ca="1">I13/H13-1</f>
        <v>0.44316653042394183</v>
      </c>
      <c r="J14" s="159">
        <f t="shared" ref="J14:N14" ca="1" si="6">J13/I13-1</f>
        <v>0.45266567891674692</v>
      </c>
      <c r="K14" s="159">
        <f t="shared" ca="1" si="6"/>
        <v>0.46842696905793346</v>
      </c>
      <c r="L14" s="159">
        <f t="shared" ca="1" si="6"/>
        <v>0.4857199067194049</v>
      </c>
      <c r="M14" s="159">
        <f t="shared" ca="1" si="6"/>
        <v>0.50965199846450537</v>
      </c>
      <c r="N14" s="159">
        <f t="shared" ca="1" si="6"/>
        <v>0.53744303529058368</v>
      </c>
    </row>
    <row r="15" spans="2:14">
      <c r="B15" s="249" t="s">
        <v>38</v>
      </c>
      <c r="C15" s="325">
        <f ca="1">+E15*(1-$D$7)+D15*$D$7</f>
        <v>6411.6633525758789</v>
      </c>
      <c r="D15" s="323">
        <f>FSM!E32</f>
        <v>4273</v>
      </c>
      <c r="E15" s="323">
        <f ca="1">FSM!F32</f>
        <v>7605.9818481702005</v>
      </c>
      <c r="F15" s="323">
        <f ca="1">FSM!G32</f>
        <v>10676.535039197535</v>
      </c>
      <c r="G15" s="323">
        <f ca="1">FSM!H32</f>
        <v>17427.782876595775</v>
      </c>
      <c r="H15" s="323">
        <f ca="1">FSM!I32</f>
        <v>27331.363929342202</v>
      </c>
      <c r="I15" s="323">
        <f ca="1">FSM!J32</f>
        <v>42265.447516724373</v>
      </c>
      <c r="J15" s="323">
        <f ca="1">FSM!K32</f>
        <v>63925.37078426854</v>
      </c>
      <c r="K15" s="323">
        <f ca="1">FSM!L32</f>
        <v>97399.126469930197</v>
      </c>
      <c r="L15" s="323">
        <f ca="1">FSM!M32</f>
        <v>149534.95918485051</v>
      </c>
      <c r="M15" s="323">
        <f ca="1">FSM!N32</f>
        <v>232868.25954785122</v>
      </c>
      <c r="N15" s="323">
        <f ca="1">FSM!O32</f>
        <v>369205.01506823377</v>
      </c>
    </row>
    <row r="16" spans="2:14">
      <c r="B16" s="66" t="s">
        <v>347</v>
      </c>
      <c r="C16" s="13"/>
      <c r="D16" s="159">
        <f t="shared" ref="D16:I16" si="7">D15/D13</f>
        <v>0.13549594114662608</v>
      </c>
      <c r="E16" s="159">
        <f t="shared" ca="1" si="7"/>
        <v>0.1931009792118</v>
      </c>
      <c r="F16" s="159">
        <f t="shared" ca="1" si="7"/>
        <v>0.19747483966733548</v>
      </c>
      <c r="G16" s="159">
        <f t="shared" ca="1" si="7"/>
        <v>0.22061945113408879</v>
      </c>
      <c r="H16" s="159">
        <f t="shared" ca="1" si="7"/>
        <v>0.23981205636544559</v>
      </c>
      <c r="I16" s="159">
        <f t="shared" ca="1" si="7"/>
        <v>0.25696781492382398</v>
      </c>
      <c r="J16" s="159">
        <f t="shared" ref="J16:N16" ca="1" si="8">J15/J13</f>
        <v>0.26754746455375733</v>
      </c>
      <c r="K16" s="159">
        <f t="shared" ca="1" si="8"/>
        <v>0.27760692383349206</v>
      </c>
      <c r="L16" s="159">
        <f t="shared" ca="1" si="8"/>
        <v>0.2868672868625643</v>
      </c>
      <c r="M16" s="159">
        <f t="shared" ca="1" si="8"/>
        <v>0.29591824351367368</v>
      </c>
      <c r="N16" s="159">
        <f t="shared" ca="1" si="8"/>
        <v>0.30516168294971435</v>
      </c>
    </row>
    <row r="17" spans="2:18">
      <c r="B17" s="249" t="s">
        <v>348</v>
      </c>
      <c r="C17" s="325">
        <f ca="1">+E17*(1-$D$7)+D17*$D$7</f>
        <v>3344.5579822386944</v>
      </c>
      <c r="D17" s="323">
        <f>FSM!E21</f>
        <v>1951</v>
      </c>
      <c r="E17" s="323">
        <f ca="1">FSM!F21</f>
        <v>4122.7786736187445</v>
      </c>
      <c r="F17" s="323">
        <f ca="1">FSM!G21</f>
        <v>6748.3218187089606</v>
      </c>
      <c r="G17" s="323">
        <f ca="1">FSM!H21</f>
        <v>12629.877328852135</v>
      </c>
      <c r="H17" s="323">
        <f ca="1">FSM!I21</f>
        <v>21180.007298068216</v>
      </c>
      <c r="I17" s="323">
        <f ca="1">FSM!J21</f>
        <v>34066.655167999284</v>
      </c>
      <c r="J17" s="323">
        <f ca="1">FSM!K21</f>
        <v>52667.262055182509</v>
      </c>
      <c r="K17" s="323">
        <f ca="1">FSM!L21</f>
        <v>81574.214574769416</v>
      </c>
      <c r="L17" s="323">
        <f ca="1">FSM!M21</f>
        <v>126873.31823614406</v>
      </c>
      <c r="M17" s="323">
        <f ca="1">FSM!N21</f>
        <v>199833.62044355966</v>
      </c>
      <c r="N17" s="323">
        <f ca="1">FSM!O21</f>
        <v>320232.14777711115</v>
      </c>
    </row>
    <row r="18" spans="2:18">
      <c r="B18" s="66" t="s">
        <v>347</v>
      </c>
      <c r="C18" s="13"/>
      <c r="D18" s="159">
        <f>D17/D13</f>
        <v>6.1865804160324708E-2</v>
      </c>
      <c r="E18" s="159">
        <f t="shared" ref="E18:I18" ca="1" si="9">E17/E13</f>
        <v>0.10466927411098534</v>
      </c>
      <c r="F18" s="159">
        <f t="shared" ca="1" si="9"/>
        <v>0.12481800174687535</v>
      </c>
      <c r="G18" s="159">
        <f t="shared" ca="1" si="9"/>
        <v>0.15988244884116351</v>
      </c>
      <c r="H18" s="159">
        <f t="shared" ca="1" si="9"/>
        <v>0.18583855226236887</v>
      </c>
      <c r="I18" s="159">
        <f t="shared" ca="1" si="9"/>
        <v>0.20712034190150749</v>
      </c>
      <c r="J18" s="159">
        <f t="shared" ref="J18:N18" ca="1" si="10">J17/J13</f>
        <v>0.22042879462374676</v>
      </c>
      <c r="K18" s="159">
        <f t="shared" ca="1" si="10"/>
        <v>0.23250277074329065</v>
      </c>
      <c r="L18" s="159">
        <f t="shared" ca="1" si="10"/>
        <v>0.24339328258793302</v>
      </c>
      <c r="M18" s="159">
        <f t="shared" ca="1" si="10"/>
        <v>0.25393934781603422</v>
      </c>
      <c r="N18" s="159">
        <f t="shared" ca="1" si="10"/>
        <v>0.2646837858694972</v>
      </c>
    </row>
    <row r="19" spans="2:18">
      <c r="B19" s="66"/>
      <c r="C19" s="13"/>
      <c r="D19" s="323"/>
      <c r="E19" s="323"/>
      <c r="F19" s="323"/>
      <c r="G19" s="323"/>
      <c r="H19" s="323"/>
      <c r="I19" s="323"/>
      <c r="J19" s="323"/>
      <c r="K19" s="323"/>
      <c r="L19" s="323"/>
      <c r="M19" s="323"/>
      <c r="N19" s="323"/>
    </row>
    <row r="20" spans="2:18">
      <c r="B20" s="249" t="s">
        <v>349</v>
      </c>
      <c r="C20" s="13"/>
      <c r="D20" s="325">
        <f>D21*D17</f>
        <v>493.66724436741765</v>
      </c>
      <c r="E20" s="325">
        <f t="shared" ref="E20:I20" ca="1" si="11">E21*E17</f>
        <v>865.78352145993631</v>
      </c>
      <c r="F20" s="325">
        <f t="shared" ca="1" si="11"/>
        <v>1417.1475819288817</v>
      </c>
      <c r="G20" s="325">
        <f t="shared" ca="1" si="11"/>
        <v>2652.2742390589483</v>
      </c>
      <c r="H20" s="325">
        <f t="shared" ca="1" si="11"/>
        <v>4447.8015325943252</v>
      </c>
      <c r="I20" s="325">
        <f t="shared" ca="1" si="11"/>
        <v>7153.9975852798498</v>
      </c>
      <c r="J20" s="325">
        <f t="shared" ref="J20:N20" ca="1" si="12">J21*J17</f>
        <v>11060.125031588326</v>
      </c>
      <c r="K20" s="325">
        <f t="shared" ca="1" si="12"/>
        <v>17130.585060701578</v>
      </c>
      <c r="L20" s="325">
        <f t="shared" ca="1" si="12"/>
        <v>26643.396829590252</v>
      </c>
      <c r="M20" s="325">
        <f t="shared" ca="1" si="12"/>
        <v>41965.06029314753</v>
      </c>
      <c r="N20" s="325">
        <f t="shared" ca="1" si="12"/>
        <v>67248.751033193344</v>
      </c>
    </row>
    <row r="21" spans="2:18" ht="15" customHeight="1">
      <c r="B21" s="66" t="s">
        <v>267</v>
      </c>
      <c r="C21" s="13"/>
      <c r="D21" s="324">
        <f>FSM!E10</f>
        <v>0.2530329289428076</v>
      </c>
      <c r="E21" s="324">
        <f>FSM!F10</f>
        <v>0.21</v>
      </c>
      <c r="F21" s="324">
        <f>FSM!G10</f>
        <v>0.21</v>
      </c>
      <c r="G21" s="324">
        <f>FSM!H10</f>
        <v>0.21</v>
      </c>
      <c r="H21" s="324">
        <f>FSM!I10</f>
        <v>0.21</v>
      </c>
      <c r="I21" s="324">
        <f>FSM!J10</f>
        <v>0.21</v>
      </c>
      <c r="J21" s="324">
        <f>FSM!K10</f>
        <v>0.21</v>
      </c>
      <c r="K21" s="324">
        <f>FSM!L10</f>
        <v>0.21</v>
      </c>
      <c r="L21" s="324">
        <f>FSM!M10</f>
        <v>0.21</v>
      </c>
      <c r="M21" s="324">
        <f>FSM!N10</f>
        <v>0.21</v>
      </c>
      <c r="N21" s="324">
        <f>FSM!O10</f>
        <v>0.21</v>
      </c>
    </row>
    <row r="22" spans="2:18">
      <c r="B22" s="55" t="s">
        <v>407</v>
      </c>
      <c r="C22" s="151"/>
      <c r="D22" s="331">
        <f t="shared" ref="D22:I22" si="13">D17*(1-D21)</f>
        <v>1457.3327556325823</v>
      </c>
      <c r="E22" s="331">
        <f t="shared" ca="1" si="13"/>
        <v>3256.9951521588082</v>
      </c>
      <c r="F22" s="331">
        <f t="shared" ca="1" si="13"/>
        <v>5331.1742367800789</v>
      </c>
      <c r="G22" s="331">
        <f t="shared" ca="1" si="13"/>
        <v>9977.6030897931869</v>
      </c>
      <c r="H22" s="331">
        <f t="shared" ca="1" si="13"/>
        <v>16732.205765473893</v>
      </c>
      <c r="I22" s="331">
        <f t="shared" ca="1" si="13"/>
        <v>26912.657582719436</v>
      </c>
      <c r="J22" s="331">
        <f t="shared" ref="J22:N22" ca="1" si="14">J17*(1-J21)</f>
        <v>41607.137023594187</v>
      </c>
      <c r="K22" s="331">
        <f t="shared" ca="1" si="14"/>
        <v>64443.629514067841</v>
      </c>
      <c r="L22" s="331">
        <f t="shared" ca="1" si="14"/>
        <v>100229.92140655381</v>
      </c>
      <c r="M22" s="331">
        <f t="shared" ca="1" si="14"/>
        <v>157868.56015041214</v>
      </c>
      <c r="N22" s="331">
        <f t="shared" ca="1" si="14"/>
        <v>252983.39674391781</v>
      </c>
    </row>
    <row r="23" spans="2:18">
      <c r="C23" s="13"/>
      <c r="D23" s="325"/>
      <c r="E23" s="325"/>
      <c r="F23" s="325"/>
      <c r="G23" s="325"/>
      <c r="H23" s="325"/>
      <c r="I23" s="325"/>
      <c r="J23" s="325"/>
      <c r="K23" s="325"/>
      <c r="L23" s="325"/>
      <c r="M23" s="325"/>
      <c r="N23" s="325"/>
    </row>
    <row r="24" spans="2:18">
      <c r="B24" s="249" t="s">
        <v>205</v>
      </c>
      <c r="C24" s="13"/>
      <c r="D24" s="323">
        <f>FSM!E31</f>
        <v>2322</v>
      </c>
      <c r="E24" s="323">
        <f ca="1">FSM!F31</f>
        <v>3483.203174551456</v>
      </c>
      <c r="F24" s="323">
        <f ca="1">FSM!G31</f>
        <v>3928.2132204885747</v>
      </c>
      <c r="G24" s="323">
        <f ca="1">FSM!H31</f>
        <v>4797.9055477436395</v>
      </c>
      <c r="H24" s="323">
        <f ca="1">FSM!I31</f>
        <v>6151.3566312739858</v>
      </c>
      <c r="I24" s="323">
        <f ca="1">FSM!J31</f>
        <v>8198.7923487250864</v>
      </c>
      <c r="J24" s="323">
        <f ca="1">FSM!K31</f>
        <v>11258.108729086029</v>
      </c>
      <c r="K24" s="323">
        <f ca="1">FSM!L31</f>
        <v>15824.911895160776</v>
      </c>
      <c r="L24" s="323">
        <f ca="1">FSM!M31</f>
        <v>22661.640948706445</v>
      </c>
      <c r="M24" s="323">
        <f ca="1">FSM!N31</f>
        <v>33034.639104291578</v>
      </c>
      <c r="N24" s="323">
        <f ca="1">FSM!O31</f>
        <v>48972.867291122631</v>
      </c>
      <c r="R24" s="306"/>
    </row>
    <row r="25" spans="2:18">
      <c r="B25" s="249" t="s">
        <v>350</v>
      </c>
      <c r="C25" s="13"/>
      <c r="D25" s="325"/>
      <c r="E25" s="325">
        <f ca="1">D31-E31</f>
        <v>1411.6222646226925</v>
      </c>
      <c r="F25" s="325">
        <f ca="1">E31-F31</f>
        <v>2730.4996850588504</v>
      </c>
      <c r="G25" s="325">
        <f ca="1">F31-G31</f>
        <v>4528.01193029551</v>
      </c>
      <c r="H25" s="325">
        <f ca="1">G31-H31</f>
        <v>6355.5511563258769</v>
      </c>
      <c r="I25" s="325">
        <f ca="1">H31-I31</f>
        <v>9163.8192033242958</v>
      </c>
      <c r="J25" s="325">
        <f t="shared" ref="J25:N25" ca="1" si="15">I31-J31</f>
        <v>13482.166810781622</v>
      </c>
      <c r="K25" s="325">
        <f t="shared" ca="1" si="15"/>
        <v>20222.919238750161</v>
      </c>
      <c r="L25" s="325">
        <f t="shared" ca="1" si="15"/>
        <v>30734.282712393775</v>
      </c>
      <c r="M25" s="325">
        <f t="shared" ca="1" si="15"/>
        <v>47789.716929805625</v>
      </c>
      <c r="N25" s="325">
        <f t="shared" ca="1" si="15"/>
        <v>75837.654558171896</v>
      </c>
      <c r="R25" s="306"/>
    </row>
    <row r="26" spans="2:18">
      <c r="B26" s="249" t="s">
        <v>231</v>
      </c>
      <c r="C26" s="13"/>
      <c r="D26" s="323"/>
      <c r="E26" s="323">
        <f ca="1">FSM!F78</f>
        <v>-5951.7373516415582</v>
      </c>
      <c r="F26" s="323">
        <f ca="1">FSM!G78</f>
        <v>-8211.7120378278669</v>
      </c>
      <c r="G26" s="323">
        <f ca="1">FSM!H78</f>
        <v>-11370.265541617769</v>
      </c>
      <c r="H26" s="323">
        <f ca="1">FSM!I78</f>
        <v>-15814.879389765534</v>
      </c>
      <c r="I26" s="323">
        <f ca="1">FSM!J78</f>
        <v>-22121.867463571954</v>
      </c>
      <c r="J26" s="323">
        <f ca="1">FSM!K78</f>
        <v>-31162.893846962324</v>
      </c>
      <c r="K26" s="323">
        <f ca="1">FSM!L78</f>
        <v>-44280.141734370496</v>
      </c>
      <c r="L26" s="323">
        <f ca="1">FSM!M78</f>
        <v>-63578.757800726278</v>
      </c>
      <c r="M26" s="323">
        <f ca="1">FSM!N78</f>
        <v>-92421.596741614121</v>
      </c>
      <c r="N26" s="323">
        <f ca="1">FSM!O78</f>
        <v>-134741.9758378535</v>
      </c>
      <c r="R26" s="306"/>
    </row>
    <row r="27" spans="2:18">
      <c r="B27" s="66" t="s">
        <v>240</v>
      </c>
      <c r="C27" s="13"/>
      <c r="D27" s="323"/>
      <c r="E27" s="159">
        <f ca="1">E26/E13</f>
        <v>-0.15110295206527719</v>
      </c>
      <c r="F27" s="159">
        <f ca="1">F26/F13</f>
        <v>-0.15188509306726064</v>
      </c>
      <c r="G27" s="159">
        <f ca="1">G26/G13</f>
        <v>-0.14393694027536272</v>
      </c>
      <c r="H27" s="159">
        <f ca="1">H26/H13</f>
        <v>-0.13876361082585953</v>
      </c>
      <c r="I27" s="159">
        <f ca="1">I26/I13</f>
        <v>-0.13449775829060207</v>
      </c>
      <c r="J27" s="159">
        <f t="shared" ref="J27:N27" ca="1" si="16">J26/J13</f>
        <v>-0.13042635708832606</v>
      </c>
      <c r="K27" s="159">
        <f t="shared" ca="1" si="16"/>
        <v>-0.12620722977001905</v>
      </c>
      <c r="L27" s="159">
        <f t="shared" ca="1" si="16"/>
        <v>-0.12196924285671799</v>
      </c>
      <c r="M27" s="159">
        <f t="shared" ca="1" si="16"/>
        <v>-0.11744510232356344</v>
      </c>
      <c r="N27" s="159">
        <f t="shared" ca="1" si="16"/>
        <v>-0.11136925673409388</v>
      </c>
      <c r="R27" s="306"/>
    </row>
    <row r="28" spans="2:18">
      <c r="C28" s="13"/>
      <c r="D28" s="323"/>
      <c r="E28" s="323"/>
      <c r="F28" s="323"/>
      <c r="G28" s="323"/>
      <c r="H28" s="323"/>
      <c r="I28" s="323"/>
      <c r="J28" s="323"/>
      <c r="K28" s="323"/>
      <c r="L28" s="323"/>
      <c r="M28" s="323"/>
      <c r="N28" s="323"/>
      <c r="R28" s="306"/>
    </row>
    <row r="29" spans="2:18">
      <c r="B29" s="55" t="s">
        <v>351</v>
      </c>
      <c r="C29" s="151"/>
      <c r="D29" s="331"/>
      <c r="E29" s="331">
        <f ca="1">E22+E24+E25+E26</f>
        <v>2200.0832396913984</v>
      </c>
      <c r="F29" s="331">
        <f ca="1">F22+F24+F25+F26</f>
        <v>3778.1751044996381</v>
      </c>
      <c r="G29" s="331">
        <f ca="1">G22+G24+G25+G26</f>
        <v>7933.2550262145669</v>
      </c>
      <c r="H29" s="331">
        <f ca="1">H22+H24+H25+H26</f>
        <v>13424.234163308221</v>
      </c>
      <c r="I29" s="331">
        <f ca="1">I22+I24+I25+I26</f>
        <v>22153.401671196862</v>
      </c>
      <c r="J29" s="331">
        <f t="shared" ref="J29:N29" ca="1" si="17">J22+J24+J25+J26</f>
        <v>35184.518716499515</v>
      </c>
      <c r="K29" s="331">
        <f t="shared" ca="1" si="17"/>
        <v>56211.318913608295</v>
      </c>
      <c r="L29" s="331">
        <f t="shared" ca="1" si="17"/>
        <v>90047.08726692776</v>
      </c>
      <c r="M29" s="331">
        <f t="shared" ca="1" si="17"/>
        <v>146271.31944289524</v>
      </c>
      <c r="N29" s="331">
        <f t="shared" ca="1" si="17"/>
        <v>243051.94275535888</v>
      </c>
      <c r="R29" s="305"/>
    </row>
    <row r="30" spans="2:18">
      <c r="C30" s="13"/>
      <c r="D30" s="323"/>
      <c r="E30" s="13"/>
      <c r="F30" s="13"/>
      <c r="G30" s="13"/>
      <c r="H30" s="13"/>
      <c r="I30" s="13"/>
      <c r="J30" s="13"/>
      <c r="K30" s="13"/>
      <c r="L30" s="13"/>
      <c r="M30" s="13"/>
      <c r="N30" s="13"/>
      <c r="R30" s="306"/>
    </row>
    <row r="31" spans="2:18">
      <c r="B31" s="249" t="s">
        <v>352</v>
      </c>
      <c r="C31" s="13"/>
      <c r="D31" s="323">
        <f>SUM(FSM!E40:E42)-SUM(FSM!E48:E50)</f>
        <v>-5945</v>
      </c>
      <c r="E31" s="323">
        <f ca="1">SUM(FSM!F40:F42)-SUM(FSM!F48:F50)</f>
        <v>-7356.6222646226925</v>
      </c>
      <c r="F31" s="323">
        <f ca="1">SUM(FSM!G40:G42)-SUM(FSM!G48:G50)</f>
        <v>-10087.121949681543</v>
      </c>
      <c r="G31" s="323">
        <f ca="1">SUM(FSM!H40:H42)-SUM(FSM!H48:H50)</f>
        <v>-14615.133879977053</v>
      </c>
      <c r="H31" s="323">
        <f ca="1">SUM(FSM!I40:I42)-SUM(FSM!I48:I50)</f>
        <v>-20970.68503630293</v>
      </c>
      <c r="I31" s="323">
        <f ca="1">SUM(FSM!J40:J42)-SUM(FSM!J48:J50)</f>
        <v>-30134.504239627226</v>
      </c>
      <c r="J31" s="323">
        <f ca="1">SUM(FSM!K40:K42)-SUM(FSM!K48:K50)</f>
        <v>-43616.671050408848</v>
      </c>
      <c r="K31" s="323">
        <f ca="1">SUM(FSM!L40:L42)-SUM(FSM!L48:L50)</f>
        <v>-63839.590289159009</v>
      </c>
      <c r="L31" s="323">
        <f ca="1">SUM(FSM!M40:M42)-SUM(FSM!M48:M50)</f>
        <v>-94573.873001552784</v>
      </c>
      <c r="M31" s="323">
        <f ca="1">SUM(FSM!N40:N42)-SUM(FSM!N48:N50)</f>
        <v>-142363.58993135841</v>
      </c>
      <c r="N31" s="323">
        <f ca="1">SUM(FSM!O40:O42)-SUM(FSM!O48:O50)</f>
        <v>-218201.24448953031</v>
      </c>
    </row>
    <row r="32" spans="2:18">
      <c r="B32" s="66" t="s">
        <v>240</v>
      </c>
      <c r="C32" s="13"/>
      <c r="D32" s="159">
        <f t="shared" ref="D32:I32" si="18">D31/D13</f>
        <v>-0.18851471334348047</v>
      </c>
      <c r="E32" s="159">
        <f t="shared" ca="1" si="18"/>
        <v>-0.18677022787422556</v>
      </c>
      <c r="F32" s="159">
        <f t="shared" ca="1" si="18"/>
        <v>-0.18657296420655417</v>
      </c>
      <c r="G32" s="159">
        <f t="shared" ca="1" si="18"/>
        <v>-0.18501394226008352</v>
      </c>
      <c r="H32" s="159">
        <f t="shared" ca="1" si="18"/>
        <v>-0.18400190765997093</v>
      </c>
      <c r="I32" s="159">
        <f t="shared" ca="1" si="18"/>
        <v>-0.18321343232449128</v>
      </c>
      <c r="J32" s="159">
        <f t="shared" ref="J32:N32" ca="1" si="19">J31/J13</f>
        <v>-0.18254926969753177</v>
      </c>
      <c r="K32" s="159">
        <f t="shared" ca="1" si="19"/>
        <v>-0.1819555567003496</v>
      </c>
      <c r="L32" s="159">
        <f t="shared" ca="1" si="19"/>
        <v>-0.18143015187841602</v>
      </c>
      <c r="M32" s="159">
        <f t="shared" ca="1" si="19"/>
        <v>-0.18090908376515683</v>
      </c>
      <c r="N32" s="159">
        <f t="shared" ca="1" si="19"/>
        <v>-0.18035144776633411</v>
      </c>
      <c r="O32" s="304"/>
    </row>
    <row r="33" spans="2:18">
      <c r="D33" s="304"/>
      <c r="E33" s="118"/>
      <c r="F33" s="118"/>
      <c r="G33" s="118"/>
      <c r="H33" s="118"/>
      <c r="I33" s="118"/>
      <c r="J33" s="118"/>
      <c r="K33" s="118"/>
      <c r="L33" s="118"/>
      <c r="M33" s="118"/>
      <c r="N33" s="118"/>
      <c r="O33" s="304"/>
      <c r="P33" s="63"/>
      <c r="R33" s="118"/>
    </row>
    <row r="34" spans="2:18">
      <c r="B34" s="56" t="str">
        <f ca="1">"Present value of UFCF on "&amp;TEXT(C6,"mmm dd, yyyy")&amp;" valuation date"</f>
        <v>Present value of UFCF on Aug 22, 2021 valuation date</v>
      </c>
      <c r="C34" s="57"/>
      <c r="D34" s="327"/>
      <c r="E34" s="57"/>
      <c r="F34" s="327"/>
      <c r="G34" s="327"/>
      <c r="H34" s="327"/>
      <c r="I34" s="327"/>
      <c r="J34" s="327"/>
      <c r="K34" s="327"/>
      <c r="L34" s="327"/>
      <c r="M34" s="327"/>
      <c r="N34" s="327"/>
      <c r="O34" s="304"/>
    </row>
    <row r="35" spans="2:18" ht="15" customHeight="1">
      <c r="B35" s="151"/>
      <c r="C35" s="13"/>
      <c r="D35" s="328" t="s">
        <v>353</v>
      </c>
      <c r="E35" s="328" t="s">
        <v>354</v>
      </c>
      <c r="F35" s="326">
        <v>2</v>
      </c>
      <c r="G35" s="326">
        <v>3</v>
      </c>
      <c r="H35" s="326">
        <v>4</v>
      </c>
      <c r="I35" s="326">
        <v>5</v>
      </c>
      <c r="J35" s="326">
        <v>6</v>
      </c>
      <c r="K35" s="326">
        <v>7</v>
      </c>
      <c r="L35" s="326">
        <v>8</v>
      </c>
      <c r="M35" s="326">
        <v>9</v>
      </c>
      <c r="N35" s="326">
        <v>10</v>
      </c>
      <c r="O35" s="304"/>
    </row>
    <row r="36" spans="2:18">
      <c r="B36" s="57" t="s">
        <v>355</v>
      </c>
      <c r="C36" s="57"/>
      <c r="D36" s="380">
        <f ca="1">C6</f>
        <v>44430.379146412037</v>
      </c>
      <c r="E36" s="380">
        <f ca="1">IF($H$6=1,AVERAGE(E11,D36),E11)</f>
        <v>44495.689573206022</v>
      </c>
      <c r="F36" s="380">
        <f>IF($H$6=1,AVERAGE(F11,E11),F11)</f>
        <v>44743.5</v>
      </c>
      <c r="G36" s="380">
        <f>IF($H$6=1,AVERAGE(G11,F11),G11)</f>
        <v>45108.5</v>
      </c>
      <c r="H36" s="380">
        <f>IF($H$6=1,AVERAGE(H11,G11),H11)</f>
        <v>45474</v>
      </c>
      <c r="I36" s="380">
        <f>IF($H$6=1,AVERAGE(I11,H11),I11)</f>
        <v>45839.5</v>
      </c>
      <c r="J36" s="380">
        <f t="shared" ref="J36:N36" si="20">IF($H$6=1,AVERAGE(J11,I11),J11)</f>
        <v>46204.5</v>
      </c>
      <c r="K36" s="380">
        <f t="shared" si="20"/>
        <v>46569.5</v>
      </c>
      <c r="L36" s="380">
        <f t="shared" si="20"/>
        <v>46935</v>
      </c>
      <c r="M36" s="380">
        <f t="shared" si="20"/>
        <v>47300.5</v>
      </c>
      <c r="N36" s="380">
        <f t="shared" si="20"/>
        <v>47665.5</v>
      </c>
      <c r="O36" s="304"/>
    </row>
    <row r="37" spans="2:18">
      <c r="B37" s="13" t="s">
        <v>356</v>
      </c>
      <c r="C37" s="248"/>
      <c r="D37" s="329"/>
      <c r="E37" s="325">
        <f ca="1">E29*D7</f>
        <v>788.36316088941771</v>
      </c>
      <c r="F37" s="325">
        <f ca="1">F29</f>
        <v>3778.1751044996381</v>
      </c>
      <c r="G37" s="325">
        <f ca="1">G29</f>
        <v>7933.2550262145669</v>
      </c>
      <c r="H37" s="325">
        <f ca="1">H29</f>
        <v>13424.234163308221</v>
      </c>
      <c r="I37" s="325">
        <f ca="1">I29</f>
        <v>22153.401671196862</v>
      </c>
      <c r="J37" s="325">
        <f t="shared" ref="J37:N37" ca="1" si="21">J29</f>
        <v>35184.518716499515</v>
      </c>
      <c r="K37" s="325">
        <f t="shared" ca="1" si="21"/>
        <v>56211.318913608295</v>
      </c>
      <c r="L37" s="325">
        <f t="shared" ca="1" si="21"/>
        <v>90047.08726692776</v>
      </c>
      <c r="M37" s="325">
        <f t="shared" ca="1" si="21"/>
        <v>146271.31944289524</v>
      </c>
      <c r="N37" s="325">
        <f t="shared" ca="1" si="21"/>
        <v>243051.94275535888</v>
      </c>
      <c r="O37" s="303"/>
    </row>
    <row r="38" spans="2:18" ht="15" customHeight="1">
      <c r="B38" s="151" t="s">
        <v>357</v>
      </c>
      <c r="C38" s="330"/>
      <c r="D38" s="331"/>
      <c r="E38" s="331">
        <f ca="1">E37/(1+$H$3)^((E36-$C$6)/365)</f>
        <v>768.89227055977426</v>
      </c>
      <c r="F38" s="331">
        <f ca="1">F37/(1+$H$3)^((F36-$C$6)/365)</f>
        <v>3351.2861198623218</v>
      </c>
      <c r="G38" s="331">
        <f ca="1">G37/(1+$H$3)^((G36-$C$6)/365)</f>
        <v>6119.0358973816237</v>
      </c>
      <c r="H38" s="331">
        <f ca="1">H37/(1+$H$3)^((H36-$C$6)/365)</f>
        <v>9002.0229635397227</v>
      </c>
      <c r="I38" s="331">
        <f ca="1">I37/(1+$H$3)^((I36-$C$6)/365)</f>
        <v>12915.46453484893</v>
      </c>
      <c r="J38" s="331">
        <f t="shared" ref="J38:N38" ca="1" si="22">J37/(1+$H$3)^((J36-$C$6)/365)</f>
        <v>17837.064538451246</v>
      </c>
      <c r="K38" s="331">
        <f t="shared" ca="1" si="22"/>
        <v>24779.794706879416</v>
      </c>
      <c r="L38" s="331">
        <f t="shared" ca="1" si="22"/>
        <v>34511.402581404385</v>
      </c>
      <c r="M38" s="331">
        <f t="shared" ca="1" si="22"/>
        <v>48738.384677781105</v>
      </c>
      <c r="N38" s="331">
        <f t="shared" ca="1" si="22"/>
        <v>70422.787079401853</v>
      </c>
      <c r="O38" s="303"/>
    </row>
    <row r="39" spans="2:18">
      <c r="B39" s="13"/>
      <c r="C39" s="13"/>
      <c r="D39" s="13"/>
      <c r="E39" s="13"/>
      <c r="F39" s="13"/>
      <c r="G39" s="13"/>
      <c r="H39" s="13"/>
      <c r="I39" s="13"/>
      <c r="J39" s="13"/>
      <c r="K39" s="13"/>
      <c r="L39" s="13"/>
      <c r="M39" s="13"/>
      <c r="N39" s="13"/>
    </row>
    <row r="40" spans="2:18">
      <c r="B40" s="151" t="s">
        <v>396</v>
      </c>
      <c r="C40" s="151"/>
      <c r="D40" s="13"/>
      <c r="E40" s="151" t="s">
        <v>397</v>
      </c>
      <c r="F40" s="13"/>
      <c r="G40" s="13"/>
      <c r="H40" s="13"/>
      <c r="I40" s="13"/>
      <c r="J40" s="13"/>
      <c r="K40" s="13"/>
      <c r="L40" s="13"/>
      <c r="M40" s="13"/>
      <c r="N40" s="13"/>
    </row>
    <row r="41" spans="2:18">
      <c r="B41" s="13" t="s">
        <v>358</v>
      </c>
      <c r="C41" s="341">
        <v>0.03</v>
      </c>
      <c r="D41" s="13"/>
      <c r="E41" s="13" t="s">
        <v>359</v>
      </c>
      <c r="F41" s="13"/>
      <c r="G41" s="13"/>
      <c r="H41" s="13"/>
      <c r="I41" s="325">
        <f ca="1">N15</f>
        <v>369205.01506823377</v>
      </c>
      <c r="J41" s="325"/>
      <c r="K41" s="325"/>
      <c r="L41" s="325"/>
      <c r="M41" s="325"/>
      <c r="N41" s="325"/>
      <c r="O41" s="306"/>
    </row>
    <row r="42" spans="2:18">
      <c r="B42" s="13"/>
      <c r="C42" s="13"/>
      <c r="D42" s="13"/>
      <c r="E42" s="13" t="s">
        <v>360</v>
      </c>
      <c r="F42" s="13"/>
      <c r="G42" s="13"/>
      <c r="H42" s="13"/>
      <c r="I42" s="342">
        <v>5</v>
      </c>
      <c r="J42" s="332"/>
      <c r="K42" s="332"/>
      <c r="L42" s="332"/>
      <c r="M42" s="332"/>
      <c r="N42" s="332"/>
      <c r="O42" s="307"/>
    </row>
    <row r="43" spans="2:18">
      <c r="B43" s="13" t="str">
        <f>"Terminal value in "&amp;YEAR(N11)</f>
        <v>Terminal value in 2030</v>
      </c>
      <c r="C43" s="325">
        <f ca="1">N37*(1+C41)/(H3-C41)</f>
        <v>2086195.8419834971</v>
      </c>
      <c r="D43" s="202"/>
      <c r="E43" s="13" t="str">
        <f>"Terminal value in "&amp;YEAR(N11)</f>
        <v>Terminal value in 2030</v>
      </c>
      <c r="F43" s="13"/>
      <c r="G43" s="13"/>
      <c r="H43" s="13"/>
      <c r="I43" s="325">
        <f ca="1">I41*I42</f>
        <v>1846025.0753411688</v>
      </c>
      <c r="J43" s="325"/>
      <c r="K43" s="325"/>
      <c r="L43" s="325"/>
      <c r="M43" s="325"/>
      <c r="N43" s="325"/>
      <c r="O43" s="306"/>
    </row>
    <row r="44" spans="2:18">
      <c r="B44" s="13" t="s">
        <v>398</v>
      </c>
      <c r="C44" s="325">
        <f ca="1">C43/(1+H3)^((N36-$D$36)/365)</f>
        <v>604462.2557648659</v>
      </c>
      <c r="D44" s="13"/>
      <c r="E44" s="13" t="s">
        <v>361</v>
      </c>
      <c r="F44" s="13"/>
      <c r="G44" s="13"/>
      <c r="H44" s="13"/>
      <c r="I44" s="325">
        <f ca="1">I43/(1+H3)^((N36-D36)/365)</f>
        <v>534874.27152491489</v>
      </c>
      <c r="J44" s="325"/>
      <c r="K44" s="325"/>
      <c r="L44" s="325"/>
      <c r="M44" s="325"/>
      <c r="N44" s="325"/>
      <c r="O44" s="306"/>
    </row>
    <row r="45" spans="2:18">
      <c r="B45" s="13" t="s">
        <v>399</v>
      </c>
      <c r="C45" s="325">
        <f ca="1">SUM(E38:N38)</f>
        <v>228446.13537011039</v>
      </c>
      <c r="D45" s="13"/>
      <c r="E45" s="13" t="s">
        <v>399</v>
      </c>
      <c r="F45" s="13"/>
      <c r="G45" s="13"/>
      <c r="H45" s="13"/>
      <c r="I45" s="325">
        <f ca="1">C45</f>
        <v>228446.13537011039</v>
      </c>
      <c r="J45" s="325"/>
      <c r="K45" s="325"/>
      <c r="L45" s="325"/>
      <c r="M45" s="325"/>
      <c r="N45" s="325"/>
      <c r="O45" s="306"/>
    </row>
    <row r="46" spans="2:18">
      <c r="B46" s="151" t="s">
        <v>362</v>
      </c>
      <c r="C46" s="331">
        <f ca="1">C45+C44</f>
        <v>832908.39113497629</v>
      </c>
      <c r="D46" s="13"/>
      <c r="E46" s="151" t="s">
        <v>362</v>
      </c>
      <c r="F46" s="13"/>
      <c r="G46" s="13"/>
      <c r="H46" s="13"/>
      <c r="I46" s="331">
        <f ca="1">SUM(I44:I45)</f>
        <v>763320.40689502528</v>
      </c>
      <c r="J46" s="331"/>
      <c r="K46" s="331"/>
      <c r="L46" s="331"/>
      <c r="M46" s="331"/>
      <c r="N46" s="331"/>
      <c r="O46" s="308"/>
    </row>
    <row r="47" spans="2:18">
      <c r="B47" s="13"/>
      <c r="C47" s="13"/>
      <c r="D47" s="13"/>
      <c r="E47" s="13"/>
      <c r="F47" s="13"/>
      <c r="G47" s="13"/>
      <c r="H47" s="13"/>
      <c r="I47" s="13"/>
      <c r="J47" s="13"/>
      <c r="K47" s="13"/>
      <c r="L47" s="13"/>
      <c r="M47" s="13"/>
      <c r="N47" s="13"/>
    </row>
    <row r="48" spans="2:18">
      <c r="B48" s="333" t="s">
        <v>363</v>
      </c>
      <c r="C48" s="141">
        <f ca="1">C44/$C$46</f>
        <v>0.72572477621600795</v>
      </c>
      <c r="D48" s="13"/>
      <c r="E48" s="333" t="s">
        <v>363</v>
      </c>
      <c r="F48" s="13"/>
      <c r="G48" s="13"/>
      <c r="H48" s="13"/>
      <c r="I48" s="141">
        <f ca="1">+I44/I46</f>
        <v>0.70072051879319508</v>
      </c>
      <c r="J48" s="141"/>
      <c r="K48" s="141"/>
      <c r="L48" s="141"/>
      <c r="M48" s="141"/>
      <c r="N48" s="141"/>
      <c r="O48" s="309"/>
    </row>
    <row r="49" spans="2:16">
      <c r="B49" s="333" t="s">
        <v>364</v>
      </c>
      <c r="C49" s="141">
        <f ca="1">1-C48</f>
        <v>0.27427522378399205</v>
      </c>
      <c r="D49" s="13"/>
      <c r="E49" s="333" t="s">
        <v>365</v>
      </c>
      <c r="F49" s="13"/>
      <c r="G49" s="334"/>
      <c r="H49" s="13"/>
      <c r="I49" s="159">
        <f ca="1">1-I48</f>
        <v>0.29927948120680492</v>
      </c>
      <c r="J49" s="159"/>
      <c r="K49" s="159"/>
      <c r="L49" s="159"/>
      <c r="M49" s="159"/>
      <c r="N49" s="159"/>
      <c r="O49" s="84"/>
    </row>
    <row r="50" spans="2:16">
      <c r="B50" s="333" t="s">
        <v>366</v>
      </c>
      <c r="C50" s="335">
        <f ca="1">(C43/N15)</f>
        <v>5.6505078664707238</v>
      </c>
      <c r="D50" s="13"/>
      <c r="E50" s="13" t="s">
        <v>367</v>
      </c>
      <c r="F50" s="13"/>
      <c r="G50" s="13"/>
      <c r="H50" s="13"/>
      <c r="I50" s="336">
        <f ca="1">(H3-N37/I43)/(1+N37/I43)</f>
        <v>1.6204198434321339E-2</v>
      </c>
      <c r="J50" s="336"/>
      <c r="K50" s="336"/>
      <c r="L50" s="336"/>
      <c r="M50" s="336"/>
      <c r="N50" s="336"/>
      <c r="O50" s="310"/>
    </row>
    <row r="51" spans="2:16">
      <c r="B51" s="333"/>
      <c r="C51" s="344"/>
      <c r="D51" s="424"/>
      <c r="E51" s="13"/>
      <c r="F51" s="13"/>
      <c r="G51" s="13"/>
      <c r="H51" s="13"/>
      <c r="I51" s="425"/>
      <c r="J51" s="425"/>
      <c r="K51" s="425"/>
      <c r="L51" s="425"/>
      <c r="M51" s="425"/>
      <c r="N51" s="425"/>
      <c r="O51" s="310"/>
    </row>
    <row r="52" spans="2:16">
      <c r="B52" s="151" t="s">
        <v>368</v>
      </c>
      <c r="C52" s="13"/>
      <c r="D52" s="13"/>
      <c r="E52"/>
      <c r="F52"/>
      <c r="G52"/>
      <c r="H52"/>
      <c r="I52"/>
      <c r="J52" s="13"/>
      <c r="K52" s="13"/>
      <c r="L52" s="13"/>
      <c r="M52" s="13"/>
      <c r="N52" s="13"/>
    </row>
    <row r="53" spans="2:16">
      <c r="B53" s="13" t="s">
        <v>369</v>
      </c>
      <c r="C53" s="426" t="s">
        <v>401</v>
      </c>
      <c r="D53" s="13"/>
      <c r="E53"/>
      <c r="F53"/>
      <c r="G53"/>
      <c r="H53"/>
      <c r="I53"/>
      <c r="J53" s="13"/>
      <c r="K53" s="13"/>
      <c r="L53" s="13"/>
      <c r="M53" s="13"/>
      <c r="N53" s="13"/>
    </row>
    <row r="54" spans="2:16">
      <c r="B54" s="274" t="s">
        <v>370</v>
      </c>
      <c r="C54" s="427">
        <f>C5</f>
        <v>44377</v>
      </c>
      <c r="D54" s="13"/>
      <c r="E54"/>
      <c r="F54"/>
      <c r="G54"/>
      <c r="H54"/>
      <c r="I54"/>
      <c r="J54" s="346"/>
      <c r="K54" s="346"/>
      <c r="L54" s="346"/>
      <c r="M54" s="346"/>
      <c r="N54" s="346"/>
    </row>
    <row r="55" spans="2:16">
      <c r="B55" s="428" t="s">
        <v>371</v>
      </c>
      <c r="C55" s="427"/>
      <c r="D55" s="13"/>
      <c r="E55"/>
      <c r="F55"/>
      <c r="G55"/>
      <c r="H55"/>
      <c r="I55"/>
      <c r="J55" s="429"/>
      <c r="K55" s="429"/>
      <c r="L55" s="429"/>
      <c r="M55" s="429"/>
      <c r="N55" s="429"/>
      <c r="O55" s="311"/>
    </row>
    <row r="56" spans="2:16" ht="15" customHeight="1">
      <c r="B56" s="430" t="s">
        <v>372</v>
      </c>
      <c r="C56" s="115">
        <f>812+1530+7871</f>
        <v>10213</v>
      </c>
      <c r="D56" s="13"/>
      <c r="E56"/>
      <c r="F56"/>
      <c r="G56"/>
      <c r="H56"/>
      <c r="I56"/>
      <c r="J56" s="429"/>
      <c r="K56" s="429"/>
      <c r="L56" s="429"/>
      <c r="M56" s="429"/>
      <c r="N56" s="429"/>
      <c r="O56" s="312"/>
    </row>
    <row r="57" spans="2:16" ht="15" customHeight="1">
      <c r="B57" s="430" t="s">
        <v>373</v>
      </c>
      <c r="C57" s="343">
        <v>0</v>
      </c>
      <c r="D57" s="13"/>
      <c r="E57"/>
      <c r="F57"/>
      <c r="G57"/>
      <c r="H57"/>
      <c r="I57"/>
      <c r="J57" s="13"/>
      <c r="K57" s="431"/>
      <c r="L57" s="431"/>
      <c r="M57" s="431"/>
      <c r="N57" s="431"/>
      <c r="P57" s="290"/>
    </row>
    <row r="58" spans="2:16" ht="15" customHeight="1">
      <c r="B58" s="430" t="s">
        <v>374</v>
      </c>
      <c r="C58" s="343">
        <v>0</v>
      </c>
      <c r="D58" s="13"/>
      <c r="E58"/>
      <c r="F58"/>
      <c r="G58"/>
      <c r="H58"/>
      <c r="I58"/>
      <c r="J58" s="431"/>
      <c r="K58" s="431"/>
      <c r="L58" s="431"/>
      <c r="M58" s="431"/>
      <c r="N58" s="431"/>
      <c r="P58" s="290"/>
    </row>
    <row r="59" spans="2:16" ht="15" customHeight="1">
      <c r="B59" s="432" t="s">
        <v>375</v>
      </c>
      <c r="C59" s="343">
        <v>605</v>
      </c>
      <c r="D59" s="13"/>
      <c r="E59"/>
      <c r="F59"/>
      <c r="G59"/>
      <c r="H59"/>
      <c r="I59"/>
      <c r="J59" s="431"/>
      <c r="K59" s="431"/>
      <c r="L59" s="431"/>
      <c r="M59" s="431"/>
      <c r="N59" s="431"/>
      <c r="P59" s="290"/>
    </row>
    <row r="60" spans="2:16" ht="15" customHeight="1">
      <c r="B60" s="428" t="s">
        <v>376</v>
      </c>
      <c r="C60" s="115"/>
      <c r="D60" s="13"/>
      <c r="E60"/>
      <c r="F60"/>
      <c r="G60"/>
      <c r="H60"/>
      <c r="I60"/>
      <c r="J60" s="433"/>
      <c r="K60" s="433"/>
      <c r="L60" s="433"/>
      <c r="M60" s="433"/>
      <c r="N60" s="433"/>
      <c r="O60" s="313"/>
    </row>
    <row r="61" spans="2:16">
      <c r="B61" s="434" t="s">
        <v>377</v>
      </c>
      <c r="C61" s="135">
        <f>16229</f>
        <v>16229</v>
      </c>
      <c r="D61" s="13"/>
      <c r="E61" s="407"/>
      <c r="F61" s="407"/>
      <c r="G61" s="407"/>
      <c r="H61" s="407"/>
      <c r="I61" s="407"/>
      <c r="J61" s="13"/>
      <c r="K61" s="13"/>
      <c r="L61" s="13"/>
      <c r="M61" s="13"/>
      <c r="N61" s="13"/>
      <c r="O61" s="314"/>
    </row>
    <row r="62" spans="2:16">
      <c r="B62" s="434" t="s">
        <v>378</v>
      </c>
      <c r="C62" s="435">
        <v>0</v>
      </c>
      <c r="D62" s="13"/>
      <c r="E62" s="13"/>
      <c r="F62" s="13"/>
      <c r="G62" s="13"/>
      <c r="H62" s="13"/>
      <c r="I62" s="13"/>
      <c r="J62" s="13"/>
      <c r="K62" s="13"/>
      <c r="L62" s="13"/>
      <c r="M62" s="13"/>
      <c r="N62" s="13"/>
      <c r="O62" s="314"/>
    </row>
    <row r="63" spans="2:16">
      <c r="B63" s="13"/>
      <c r="C63" s="202"/>
      <c r="D63" s="13"/>
      <c r="E63" s="13"/>
      <c r="F63" s="13"/>
      <c r="G63" s="13"/>
      <c r="H63" s="13"/>
      <c r="I63" s="13"/>
      <c r="J63" s="13"/>
      <c r="K63" s="13"/>
      <c r="L63" s="13"/>
      <c r="M63" s="13"/>
      <c r="N63" s="13"/>
      <c r="O63" s="315"/>
    </row>
    <row r="64" spans="2:16">
      <c r="B64" s="436" t="s">
        <v>368</v>
      </c>
      <c r="C64" s="273">
        <f>SUM(C56:C59)-SUM(C61:C62)</f>
        <v>-5411</v>
      </c>
      <c r="D64" s="13"/>
      <c r="E64" s="13"/>
      <c r="F64" s="13"/>
      <c r="G64" s="13"/>
      <c r="H64" s="13"/>
      <c r="I64" s="13"/>
      <c r="J64" s="13"/>
      <c r="K64" s="13"/>
      <c r="L64" s="13"/>
      <c r="M64" s="13"/>
      <c r="N64" s="13"/>
    </row>
    <row r="65" spans="1:24">
      <c r="B65" s="13"/>
      <c r="C65" s="13"/>
      <c r="D65" s="13"/>
      <c r="E65" s="13"/>
      <c r="F65" s="13"/>
      <c r="G65" s="13"/>
      <c r="H65" s="13"/>
      <c r="I65" s="13"/>
      <c r="J65" s="13"/>
      <c r="K65" s="13"/>
      <c r="L65" s="13"/>
      <c r="M65" s="13"/>
      <c r="N65" s="13"/>
    </row>
    <row r="66" spans="1:24">
      <c r="B66" s="151" t="s">
        <v>379</v>
      </c>
      <c r="C66" s="13"/>
      <c r="D66" s="13"/>
      <c r="E66" s="13"/>
      <c r="F66" s="13"/>
      <c r="G66" s="13"/>
      <c r="H66" s="13"/>
      <c r="I66" s="13"/>
      <c r="J66" s="13"/>
      <c r="K66" s="13"/>
      <c r="L66" s="13"/>
      <c r="M66" s="13"/>
      <c r="N66" s="13"/>
    </row>
    <row r="67" spans="1:24" ht="17.25">
      <c r="A67" s="13"/>
      <c r="B67" s="13"/>
      <c r="C67" s="437" t="s">
        <v>380</v>
      </c>
      <c r="D67" s="437" t="s">
        <v>38</v>
      </c>
      <c r="E67" s="13"/>
      <c r="F67" s="13"/>
      <c r="G67" s="13"/>
      <c r="H67" s="13"/>
      <c r="I67" s="13"/>
      <c r="J67" s="13"/>
      <c r="K67" s="13"/>
      <c r="L67" s="13"/>
      <c r="M67" s="13"/>
      <c r="N67" s="13"/>
    </row>
    <row r="68" spans="1:24" ht="17.25">
      <c r="A68" s="13"/>
      <c r="B68" s="13" t="s">
        <v>381</v>
      </c>
      <c r="C68" s="438">
        <f ca="1">C46</f>
        <v>832908.39113497629</v>
      </c>
      <c r="D68" s="439">
        <f ca="1">I46</f>
        <v>763320.40689502528</v>
      </c>
      <c r="E68" s="13"/>
      <c r="F68" s="13"/>
      <c r="G68" s="440" t="s">
        <v>404</v>
      </c>
      <c r="H68" s="440"/>
      <c r="I68" s="440" t="s">
        <v>387</v>
      </c>
      <c r="J68" s="440"/>
      <c r="K68" s="13"/>
      <c r="L68" s="13"/>
      <c r="M68" s="13"/>
      <c r="N68" s="13"/>
    </row>
    <row r="69" spans="1:24">
      <c r="A69" s="13"/>
      <c r="B69" s="13" t="s">
        <v>368</v>
      </c>
      <c r="C69" s="441">
        <f>$C$64</f>
        <v>-5411</v>
      </c>
      <c r="D69" s="441">
        <f>C69</f>
        <v>-5411</v>
      </c>
      <c r="E69" s="13"/>
      <c r="F69" s="345"/>
      <c r="G69" s="346" t="s">
        <v>380</v>
      </c>
      <c r="H69" s="346" t="s">
        <v>38</v>
      </c>
      <c r="I69" s="346" t="s">
        <v>380</v>
      </c>
      <c r="J69" s="346" t="s">
        <v>38</v>
      </c>
      <c r="K69" s="13"/>
      <c r="L69" s="13"/>
      <c r="M69" s="13"/>
      <c r="N69" s="13"/>
    </row>
    <row r="70" spans="1:24">
      <c r="A70" s="13"/>
      <c r="B70" s="13" t="s">
        <v>382</v>
      </c>
      <c r="C70" s="439">
        <f ca="1">C68-C69</f>
        <v>838319.39113497629</v>
      </c>
      <c r="D70" s="439">
        <f ca="1">D68-D69</f>
        <v>768731.40689502528</v>
      </c>
      <c r="E70" s="13"/>
      <c r="F70" s="151" t="s">
        <v>384</v>
      </c>
      <c r="G70" s="347">
        <f ca="1">C68/$C$13</f>
        <v>22.772759996809381</v>
      </c>
      <c r="H70" s="347">
        <f ca="1">D68/$C$13</f>
        <v>20.870137234660561</v>
      </c>
      <c r="I70" s="347">
        <f ca="1">C68/$E$13</f>
        <v>21.145912405849565</v>
      </c>
      <c r="J70" s="347">
        <f ca="1">D68/$E$13</f>
        <v>19.379209806980946</v>
      </c>
      <c r="K70" s="13"/>
      <c r="L70" s="13"/>
      <c r="M70" s="13"/>
      <c r="N70" s="13"/>
    </row>
    <row r="71" spans="1:24">
      <c r="A71" s="13"/>
      <c r="B71" s="13" t="s">
        <v>264</v>
      </c>
      <c r="C71" s="439">
        <f>Valuation!C7</f>
        <v>990.01509999999996</v>
      </c>
      <c r="D71" s="439">
        <f>C71</f>
        <v>990.01509999999996</v>
      </c>
      <c r="E71" s="13"/>
      <c r="F71" s="151" t="s">
        <v>385</v>
      </c>
      <c r="G71" s="348">
        <f ca="1">C68/$C$15</f>
        <v>129.90519703445693</v>
      </c>
      <c r="H71" s="348">
        <f ca="1">D68/$C$15</f>
        <v>119.05185361741772</v>
      </c>
      <c r="I71" s="348">
        <f ca="1">C68/$E$15</f>
        <v>109.50701799733484</v>
      </c>
      <c r="J71" s="348">
        <f ca="1">D68/$E$15</f>
        <v>100.35790541344247</v>
      </c>
      <c r="K71" s="13"/>
      <c r="L71" s="13"/>
      <c r="M71" s="13"/>
      <c r="N71" s="13"/>
    </row>
    <row r="72" spans="1:24">
      <c r="A72" s="13"/>
      <c r="B72" s="151" t="s">
        <v>383</v>
      </c>
      <c r="C72" s="442">
        <f ca="1">C70/C71</f>
        <v>846.7743483255723</v>
      </c>
      <c r="D72" s="442">
        <f ca="1">D70/D71</f>
        <v>776.48452725117556</v>
      </c>
      <c r="E72" s="13"/>
      <c r="F72" s="331" t="s">
        <v>386</v>
      </c>
      <c r="G72" s="348">
        <f ca="1">C68/$C$17</f>
        <v>249.03392183904236</v>
      </c>
      <c r="H72" s="348">
        <f ca="1">D68/$C$17</f>
        <v>228.22758969904103</v>
      </c>
      <c r="I72" s="348">
        <f ca="1">C68/$E$17</f>
        <v>202.02597739836852</v>
      </c>
      <c r="J72" s="348">
        <f ca="1">D68/$E$17</f>
        <v>185.14707369072164</v>
      </c>
      <c r="K72" s="13"/>
      <c r="L72" s="13"/>
      <c r="M72" s="13"/>
      <c r="N72" s="13"/>
    </row>
    <row r="73" spans="1:24">
      <c r="A73" s="13"/>
      <c r="B73" s="13"/>
      <c r="C73" s="13"/>
      <c r="D73" s="13"/>
      <c r="E73" s="13"/>
      <c r="F73" s="13"/>
      <c r="G73" s="13"/>
      <c r="H73" s="13"/>
      <c r="I73" s="13"/>
      <c r="J73" s="13"/>
      <c r="K73" s="13"/>
      <c r="L73" s="13"/>
      <c r="M73" s="13"/>
      <c r="N73" s="13"/>
    </row>
    <row r="74" spans="1:24">
      <c r="A74" s="13"/>
      <c r="B74" s="151"/>
      <c r="C74" s="151"/>
      <c r="D74" s="151"/>
      <c r="E74" s="151"/>
      <c r="F74" s="151"/>
      <c r="G74" s="151"/>
      <c r="H74" s="151"/>
      <c r="I74" s="151"/>
      <c r="J74" s="13"/>
      <c r="K74" s="13"/>
      <c r="L74" s="13"/>
      <c r="M74" s="13"/>
      <c r="N74" s="13"/>
      <c r="O74"/>
      <c r="P74"/>
      <c r="Q74"/>
      <c r="R74"/>
      <c r="S74"/>
      <c r="T74"/>
      <c r="U74"/>
      <c r="V74"/>
      <c r="W74"/>
      <c r="X74"/>
    </row>
    <row r="75" spans="1:24" ht="17.25" customHeight="1">
      <c r="A75" s="13"/>
      <c r="B75" s="519" t="s">
        <v>389</v>
      </c>
      <c r="C75" s="519"/>
      <c r="D75" s="519"/>
      <c r="E75" s="519"/>
      <c r="F75" s="13"/>
      <c r="G75" s="151"/>
      <c r="H75" s="443" t="s">
        <v>383</v>
      </c>
      <c r="I75" s="440"/>
      <c r="J75" s="440"/>
      <c r="K75" s="440"/>
      <c r="L75" s="440"/>
      <c r="M75" s="440"/>
      <c r="N75" s="13"/>
      <c r="O75"/>
      <c r="P75"/>
      <c r="Q75"/>
      <c r="R75"/>
      <c r="S75"/>
      <c r="T75"/>
      <c r="U75"/>
      <c r="V75"/>
      <c r="W75"/>
      <c r="X75"/>
    </row>
    <row r="76" spans="1:24" ht="15" customHeight="1">
      <c r="A76" s="13"/>
      <c r="B76" s="151"/>
      <c r="C76" s="13"/>
      <c r="D76" s="13"/>
      <c r="E76" s="13"/>
      <c r="F76" s="13"/>
      <c r="G76" s="13"/>
      <c r="H76" s="514" t="s">
        <v>358</v>
      </c>
      <c r="I76" s="514"/>
      <c r="J76" s="514"/>
      <c r="K76" s="514"/>
      <c r="L76" s="514"/>
      <c r="M76" s="514"/>
      <c r="N76" s="13"/>
      <c r="O76"/>
      <c r="P76"/>
      <c r="Q76"/>
      <c r="R76"/>
      <c r="S76"/>
      <c r="T76"/>
      <c r="U76"/>
      <c r="V76"/>
      <c r="W76"/>
      <c r="X76"/>
    </row>
    <row r="77" spans="1:24" ht="15" customHeight="1">
      <c r="A77" s="13"/>
      <c r="B77" s="151"/>
      <c r="C77" s="13"/>
      <c r="D77" s="13"/>
      <c r="E77" s="13"/>
      <c r="F77" s="13"/>
      <c r="G77" s="360"/>
      <c r="H77" s="444">
        <f ca="1">C72</f>
        <v>846.7743483255723</v>
      </c>
      <c r="I77" s="445">
        <f>J77-0.005</f>
        <v>1.9999999999999997E-2</v>
      </c>
      <c r="J77" s="445">
        <f>K77-0.005</f>
        <v>2.4999999999999998E-2</v>
      </c>
      <c r="K77" s="446">
        <v>0.03</v>
      </c>
      <c r="L77" s="445">
        <f>K77+0.005</f>
        <v>3.4999999999999996E-2</v>
      </c>
      <c r="M77" s="445">
        <f>L77+0.005</f>
        <v>3.9999999999999994E-2</v>
      </c>
      <c r="N77" s="13"/>
      <c r="O77"/>
      <c r="P77"/>
      <c r="Q77"/>
      <c r="R77"/>
      <c r="S77"/>
      <c r="T77"/>
      <c r="U77"/>
      <c r="V77"/>
      <c r="W77"/>
      <c r="X77"/>
    </row>
    <row r="78" spans="1:24" ht="15" customHeight="1">
      <c r="A78" s="13"/>
      <c r="B78" s="151"/>
      <c r="C78" s="13"/>
      <c r="D78" s="13"/>
      <c r="E78" s="13"/>
      <c r="F78" s="13"/>
      <c r="G78" s="518" t="str">
        <f>$F$3</f>
        <v>Discount Rate</v>
      </c>
      <c r="H78" s="447">
        <f>H79+0.01</f>
        <v>0.17</v>
      </c>
      <c r="I78" s="357">
        <f t="dataTable" ref="I78:M82" dt2D="1" dtr="1" r1="C41" r2="H3" ca="1"/>
        <v>625.78117711095899</v>
      </c>
      <c r="J78" s="357">
        <v>642.20215738871775</v>
      </c>
      <c r="K78" s="357">
        <v>659.79606482917347</v>
      </c>
      <c r="L78" s="357">
        <v>678.69322467262577</v>
      </c>
      <c r="M78" s="357">
        <v>699.04401223085631</v>
      </c>
      <c r="N78" s="13"/>
      <c r="O78"/>
      <c r="P78"/>
      <c r="Q78"/>
      <c r="R78"/>
      <c r="S78"/>
      <c r="T78"/>
      <c r="U78"/>
      <c r="V78"/>
      <c r="W78"/>
      <c r="X78"/>
    </row>
    <row r="79" spans="1:24" ht="15" customHeight="1">
      <c r="A79" s="13"/>
      <c r="B79" s="151"/>
      <c r="C79" s="13"/>
      <c r="D79" s="13"/>
      <c r="E79" s="13"/>
      <c r="F79" s="13"/>
      <c r="G79" s="518"/>
      <c r="H79" s="447">
        <f>H80+0.01</f>
        <v>0.16</v>
      </c>
      <c r="I79" s="357">
        <v>702.92562521332661</v>
      </c>
      <c r="J79" s="357">
        <v>723.14231669856326</v>
      </c>
      <c r="K79" s="357">
        <v>744.91413829804924</v>
      </c>
      <c r="L79" s="357">
        <v>768.4277056254939</v>
      </c>
      <c r="M79" s="357">
        <v>793.90073689689245</v>
      </c>
      <c r="N79" s="13"/>
      <c r="O79"/>
      <c r="P79"/>
      <c r="Q79"/>
      <c r="R79"/>
      <c r="S79"/>
      <c r="T79"/>
      <c r="U79"/>
      <c r="V79"/>
      <c r="W79"/>
      <c r="X79"/>
    </row>
    <row r="80" spans="1:24" ht="15" customHeight="1">
      <c r="A80" s="13"/>
      <c r="B80" s="151"/>
      <c r="C80" s="13"/>
      <c r="D80" s="13"/>
      <c r="E80" s="13"/>
      <c r="F80" s="13"/>
      <c r="G80" s="518"/>
      <c r="H80" s="448">
        <v>0.15</v>
      </c>
      <c r="I80" s="357">
        <v>794.33652783218974</v>
      </c>
      <c r="J80" s="357">
        <v>819.50668165112495</v>
      </c>
      <c r="K80" s="357">
        <v>846.77434828830508</v>
      </c>
      <c r="L80" s="357">
        <v>876.41311637219621</v>
      </c>
      <c r="M80" s="357">
        <v>908.74631791825936</v>
      </c>
      <c r="N80" s="13"/>
      <c r="O80"/>
      <c r="P80"/>
      <c r="Q80"/>
      <c r="R80"/>
      <c r="S80"/>
      <c r="T80"/>
      <c r="U80"/>
      <c r="V80"/>
      <c r="W80"/>
      <c r="X80"/>
    </row>
    <row r="81" spans="1:24" ht="15" customHeight="1">
      <c r="A81" s="13"/>
      <c r="B81" s="151"/>
      <c r="C81" s="13"/>
      <c r="D81" s="13"/>
      <c r="E81" s="13"/>
      <c r="F81" s="13"/>
      <c r="G81" s="518"/>
      <c r="H81" s="447">
        <f>H80-0.01</f>
        <v>0.13999999999999999</v>
      </c>
      <c r="I81" s="357">
        <v>903.78874313380209</v>
      </c>
      <c r="J81" s="357">
        <v>935.53450316035435</v>
      </c>
      <c r="K81" s="357">
        <v>970.16624137113911</v>
      </c>
      <c r="L81" s="357">
        <v>1008.0962403639028</v>
      </c>
      <c r="M81" s="357">
        <v>1049.8192392559431</v>
      </c>
      <c r="N81" s="13"/>
      <c r="O81"/>
      <c r="P81"/>
      <c r="Q81"/>
      <c r="R81"/>
      <c r="S81"/>
      <c r="T81"/>
      <c r="U81"/>
      <c r="V81"/>
      <c r="W81"/>
      <c r="X81"/>
    </row>
    <row r="82" spans="1:24" ht="15" customHeight="1">
      <c r="A82" s="13"/>
      <c r="B82" s="151"/>
      <c r="C82" s="13"/>
      <c r="D82" s="13"/>
      <c r="E82" s="13"/>
      <c r="F82" s="13"/>
      <c r="G82" s="518"/>
      <c r="H82" s="447">
        <f>H81-0.01</f>
        <v>0.12999999999999998</v>
      </c>
      <c r="I82" s="357">
        <v>1036.4506360581279</v>
      </c>
      <c r="J82" s="357">
        <v>1077.1016324948832</v>
      </c>
      <c r="K82" s="357">
        <v>1121.8177285753143</v>
      </c>
      <c r="L82" s="357">
        <v>1171.2407821378956</v>
      </c>
      <c r="M82" s="357">
        <v>1226.1552860963197</v>
      </c>
      <c r="N82" s="13"/>
      <c r="O82"/>
      <c r="P82"/>
      <c r="Q82"/>
      <c r="R82"/>
      <c r="S82"/>
      <c r="T82"/>
      <c r="U82"/>
      <c r="V82"/>
      <c r="W82"/>
      <c r="X82"/>
    </row>
    <row r="83" spans="1:24" ht="15" customHeight="1">
      <c r="B83" s="353"/>
      <c r="C83" s="351"/>
      <c r="D83" s="351"/>
      <c r="E83" s="352"/>
      <c r="G83" s="102"/>
      <c r="H83" s="102"/>
      <c r="I83" s="365"/>
      <c r="J83" s="365"/>
      <c r="K83" s="365"/>
      <c r="L83" s="365"/>
      <c r="M83" s="365"/>
      <c r="N83"/>
      <c r="O83"/>
      <c r="P83"/>
      <c r="Q83"/>
      <c r="R83"/>
      <c r="S83"/>
      <c r="T83"/>
      <c r="U83"/>
      <c r="V83"/>
      <c r="W83"/>
      <c r="X83"/>
    </row>
    <row r="84" spans="1:24" ht="17.25" customHeight="1">
      <c r="B84" s="353"/>
      <c r="C84" s="351"/>
      <c r="D84" s="351"/>
      <c r="E84" s="352"/>
      <c r="G84" s="102"/>
      <c r="H84" s="366" t="s">
        <v>383</v>
      </c>
      <c r="I84" s="367"/>
      <c r="J84" s="367"/>
      <c r="K84" s="367"/>
      <c r="L84" s="367"/>
      <c r="M84" s="367"/>
      <c r="N84"/>
      <c r="O84"/>
      <c r="P84"/>
      <c r="Q84"/>
      <c r="R84"/>
      <c r="S84"/>
      <c r="T84"/>
      <c r="U84"/>
      <c r="V84"/>
      <c r="W84"/>
      <c r="X84"/>
    </row>
    <row r="85" spans="1:24" ht="15" customHeight="1">
      <c r="B85" s="353"/>
      <c r="C85" s="351"/>
      <c r="D85" s="351"/>
      <c r="E85" s="352"/>
      <c r="G85" s="102"/>
      <c r="H85" s="513" t="s">
        <v>388</v>
      </c>
      <c r="I85" s="513"/>
      <c r="J85" s="513"/>
      <c r="K85" s="513"/>
      <c r="L85" s="513"/>
      <c r="M85" s="513"/>
      <c r="N85"/>
      <c r="O85"/>
      <c r="P85"/>
      <c r="Q85"/>
      <c r="R85"/>
      <c r="S85"/>
      <c r="T85"/>
      <c r="U85"/>
      <c r="V85"/>
      <c r="W85"/>
      <c r="X85"/>
    </row>
    <row r="86" spans="1:24" ht="15" customHeight="1">
      <c r="B86" s="353"/>
      <c r="C86" s="351"/>
      <c r="D86" s="351"/>
      <c r="E86" s="352"/>
      <c r="G86" s="102"/>
      <c r="H86" s="378">
        <f ca="1">D72</f>
        <v>776.48452725117556</v>
      </c>
      <c r="I86" s="369">
        <f>J86-1</f>
        <v>3</v>
      </c>
      <c r="J86" s="370">
        <f>K86-1</f>
        <v>4</v>
      </c>
      <c r="K86" s="368">
        <v>5</v>
      </c>
      <c r="L86" s="370">
        <f>K86+1</f>
        <v>6</v>
      </c>
      <c r="M86" s="370">
        <f>L86+1</f>
        <v>7</v>
      </c>
      <c r="N86"/>
      <c r="O86"/>
      <c r="P86"/>
      <c r="Q86"/>
      <c r="R86"/>
      <c r="S86"/>
      <c r="T86"/>
      <c r="U86"/>
      <c r="V86"/>
      <c r="W86"/>
      <c r="X86"/>
    </row>
    <row r="87" spans="1:24" ht="15" customHeight="1">
      <c r="B87" s="353"/>
      <c r="C87" s="351"/>
      <c r="D87" s="351"/>
      <c r="E87" s="352"/>
      <c r="G87" s="517" t="str">
        <f>$F$3</f>
        <v>Discount Rate</v>
      </c>
      <c r="H87" s="361">
        <f>H88+0.01</f>
        <v>0.17</v>
      </c>
      <c r="I87" s="355">
        <f t="dataTable" ref="I87:M91" dt2D="1" dtr="1" r1="I42" r2="H3" ca="1"/>
        <v>488.84759586223726</v>
      </c>
      <c r="J87" s="356">
        <v>581.58842395080694</v>
      </c>
      <c r="K87" s="356">
        <v>674.32925203937657</v>
      </c>
      <c r="L87" s="356">
        <v>767.07008012794631</v>
      </c>
      <c r="M87" s="356">
        <v>859.81090821651594</v>
      </c>
      <c r="N87"/>
      <c r="O87"/>
      <c r="P87"/>
      <c r="Q87"/>
      <c r="R87"/>
      <c r="S87"/>
      <c r="T87"/>
      <c r="U87"/>
      <c r="V87"/>
      <c r="W87"/>
      <c r="X87"/>
    </row>
    <row r="88" spans="1:24" ht="15" customHeight="1">
      <c r="B88" s="353"/>
      <c r="C88" s="351"/>
      <c r="D88" s="351"/>
      <c r="E88" s="352"/>
      <c r="G88" s="517"/>
      <c r="H88" s="362">
        <f>H89+0.01</f>
        <v>0.16</v>
      </c>
      <c r="I88" s="371">
        <v>523.16935249096673</v>
      </c>
      <c r="J88" s="357">
        <v>623.24130858087892</v>
      </c>
      <c r="K88" s="357">
        <v>723.31326467079111</v>
      </c>
      <c r="L88" s="357">
        <v>823.38522076070331</v>
      </c>
      <c r="M88" s="357">
        <v>923.45717685061538</v>
      </c>
      <c r="N88"/>
      <c r="O88"/>
      <c r="P88"/>
      <c r="Q88"/>
      <c r="R88"/>
      <c r="S88"/>
      <c r="T88"/>
      <c r="U88"/>
      <c r="V88"/>
      <c r="W88"/>
      <c r="X88"/>
    </row>
    <row r="89" spans="1:24" ht="15" customHeight="1">
      <c r="B89" s="353"/>
      <c r="C89" s="351"/>
      <c r="D89" s="351"/>
      <c r="E89" s="352"/>
      <c r="G89" s="517"/>
      <c r="H89" s="363">
        <v>0.15</v>
      </c>
      <c r="I89" s="371">
        <v>560.37700653597062</v>
      </c>
      <c r="J89" s="357">
        <v>668.43076680819115</v>
      </c>
      <c r="K89" s="381">
        <v>776.48452708041168</v>
      </c>
      <c r="L89" s="357">
        <v>884.53828735263221</v>
      </c>
      <c r="M89" s="357">
        <v>992.59204762485285</v>
      </c>
      <c r="N89"/>
      <c r="O89"/>
      <c r="P89"/>
      <c r="Q89"/>
      <c r="R89"/>
      <c r="S89"/>
      <c r="T89"/>
      <c r="U89"/>
      <c r="V89"/>
      <c r="W89"/>
      <c r="X89"/>
    </row>
    <row r="90" spans="1:24" ht="15" customHeight="1">
      <c r="B90" s="353"/>
      <c r="C90" s="351"/>
      <c r="D90" s="351"/>
      <c r="E90" s="352"/>
      <c r="G90" s="517"/>
      <c r="H90" s="362">
        <f>H89-0.01</f>
        <v>0.13999999999999999</v>
      </c>
      <c r="I90" s="371">
        <v>600.74568064290736</v>
      </c>
      <c r="J90" s="357">
        <v>717.49610144137796</v>
      </c>
      <c r="K90" s="357">
        <v>834.24652221513179</v>
      </c>
      <c r="L90" s="357">
        <v>950.99694298888585</v>
      </c>
      <c r="M90" s="357">
        <v>1067.7473637626397</v>
      </c>
      <c r="N90"/>
      <c r="O90"/>
      <c r="P90"/>
      <c r="Q90"/>
      <c r="R90"/>
      <c r="S90"/>
      <c r="T90"/>
      <c r="U90"/>
      <c r="V90"/>
      <c r="W90"/>
      <c r="X90"/>
    </row>
    <row r="91" spans="1:24" ht="15" customHeight="1">
      <c r="B91" s="353"/>
      <c r="C91" s="351"/>
      <c r="D91" s="351"/>
      <c r="E91" s="352"/>
      <c r="G91" s="518"/>
      <c r="H91" s="364">
        <f>H90-0.01</f>
        <v>0.12999999999999998</v>
      </c>
      <c r="I91" s="371">
        <v>644.57970206412062</v>
      </c>
      <c r="J91" s="357">
        <v>770.81279595681508</v>
      </c>
      <c r="K91" s="357">
        <v>897.04588984950976</v>
      </c>
      <c r="L91" s="357">
        <v>1023.2789837422043</v>
      </c>
      <c r="M91" s="357">
        <v>1149.5120776348988</v>
      </c>
      <c r="N91"/>
      <c r="O91"/>
      <c r="P91"/>
      <c r="Q91"/>
      <c r="R91"/>
      <c r="S91"/>
      <c r="T91"/>
      <c r="U91"/>
      <c r="V91"/>
      <c r="W91"/>
      <c r="X91"/>
    </row>
    <row r="92" spans="1:24">
      <c r="A92" s="290"/>
      <c r="B92" s="353"/>
      <c r="C92" s="351"/>
      <c r="D92" s="351"/>
      <c r="E92" s="352"/>
      <c r="J92"/>
      <c r="K92"/>
      <c r="L92"/>
      <c r="M92"/>
      <c r="N92"/>
      <c r="O92"/>
      <c r="P92"/>
      <c r="Q92"/>
      <c r="R92"/>
      <c r="S92"/>
      <c r="T92"/>
      <c r="U92"/>
      <c r="V92"/>
      <c r="W92"/>
      <c r="X92"/>
    </row>
    <row r="93" spans="1:24">
      <c r="A93" s="290"/>
      <c r="B93" s="353"/>
      <c r="C93" s="354"/>
      <c r="D93" s="350"/>
      <c r="E93" s="349"/>
      <c r="N93"/>
      <c r="O93" s="290"/>
      <c r="P93"/>
      <c r="Q93"/>
      <c r="R93"/>
      <c r="S93"/>
      <c r="T93"/>
      <c r="U93"/>
      <c r="V93"/>
      <c r="W93"/>
      <c r="X93"/>
    </row>
    <row r="94" spans="1:24" ht="15" customHeight="1">
      <c r="A94" s="290"/>
      <c r="B94" s="13"/>
      <c r="C94" s="358"/>
      <c r="D94" s="358"/>
      <c r="E94" s="358"/>
      <c r="F94" s="102"/>
      <c r="G94" s="102"/>
      <c r="H94" s="102"/>
      <c r="I94" s="102"/>
      <c r="N94"/>
      <c r="O94" s="290"/>
      <c r="P94"/>
      <c r="Q94"/>
      <c r="R94"/>
      <c r="S94"/>
      <c r="T94"/>
      <c r="U94"/>
      <c r="V94"/>
      <c r="W94"/>
      <c r="X94"/>
    </row>
    <row r="95" spans="1:24" ht="15" customHeight="1">
      <c r="B95" s="317"/>
      <c r="C95" s="359" t="s">
        <v>390</v>
      </c>
      <c r="D95" s="359" t="s">
        <v>391</v>
      </c>
      <c r="E95" s="379" t="s">
        <v>392</v>
      </c>
      <c r="F95" s="211"/>
      <c r="G95" s="102"/>
      <c r="H95" s="102"/>
      <c r="I95" s="102"/>
      <c r="N95"/>
      <c r="O95" s="290"/>
      <c r="P95"/>
      <c r="Q95"/>
      <c r="R95"/>
      <c r="S95"/>
      <c r="T95"/>
      <c r="U95"/>
      <c r="V95"/>
      <c r="W95"/>
      <c r="X95"/>
    </row>
    <row r="96" spans="1:24" ht="15" customHeight="1">
      <c r="B96" s="319" t="str">
        <f>"Value at "&amp;TEXT(I77,"0.0%")&amp;"-"&amp;TEXT(M77,"0.0%")&amp;" Perpetuity Range with "&amp;TEXT(H89,"0.0%")&amp;" DR"</f>
        <v>Value at 2.0%-4.0% Perpetuity Range with 15.0% DR</v>
      </c>
      <c r="C96" s="375">
        <f>I80</f>
        <v>794.33652783218974</v>
      </c>
      <c r="D96" s="375">
        <f>E96-C96</f>
        <v>114.40979008606962</v>
      </c>
      <c r="E96" s="376">
        <f>M80</f>
        <v>908.74631791825936</v>
      </c>
      <c r="F96" s="102"/>
      <c r="G96" s="102"/>
      <c r="H96" s="102"/>
      <c r="N96"/>
      <c r="O96" s="290"/>
      <c r="P96"/>
      <c r="Q96"/>
      <c r="R96"/>
      <c r="S96"/>
      <c r="T96"/>
      <c r="U96"/>
      <c r="V96"/>
      <c r="W96"/>
      <c r="X96"/>
    </row>
    <row r="97" spans="2:24" ht="15" customHeight="1">
      <c r="B97" s="318" t="str">
        <f>"Value at "&amp;TEXT(I86,"0.0x")&amp;"-"&amp;TEXT(M86,"0.0x")&amp;" Exit EBITDA Range with "&amp;TEXT(H89,"0.0%")&amp;" DR"</f>
        <v>Value at 3.0x-7.0x Exit EBITDA Range with 15.0% DR</v>
      </c>
      <c r="C97" s="372">
        <f>I89</f>
        <v>560.37700653597062</v>
      </c>
      <c r="D97" s="372">
        <f>E97-C97</f>
        <v>432.21504108888223</v>
      </c>
      <c r="E97" s="377">
        <f>M89</f>
        <v>992.59204762485285</v>
      </c>
      <c r="F97" s="102"/>
      <c r="G97" s="102"/>
      <c r="H97" s="102"/>
      <c r="I97" s="102"/>
      <c r="N97"/>
      <c r="O97" s="290"/>
      <c r="P97"/>
      <c r="Q97"/>
      <c r="R97"/>
      <c r="S97"/>
      <c r="T97"/>
      <c r="U97"/>
      <c r="V97"/>
      <c r="W97"/>
      <c r="X97"/>
    </row>
    <row r="98" spans="2:24" ht="15" customHeight="1">
      <c r="B98" s="320" t="s">
        <v>393</v>
      </c>
      <c r="C98" s="373" cm="1">
        <f t="array" ref="C98">_FV(Valuation!C4,"52 week low",TRUE)</f>
        <v>329.88</v>
      </c>
      <c r="D98" s="373">
        <f>E98-C98</f>
        <v>570.52</v>
      </c>
      <c r="E98" s="374" cm="1">
        <f t="array" ref="E98">_FV(Valuation!C4,"52 week high",TRUE)</f>
        <v>900.4</v>
      </c>
      <c r="F98" s="102"/>
      <c r="G98" s="102"/>
      <c r="H98" s="102"/>
      <c r="I98" s="102"/>
      <c r="N98"/>
      <c r="O98" s="290"/>
      <c r="P98"/>
      <c r="Q98"/>
      <c r="R98"/>
      <c r="S98"/>
      <c r="T98"/>
      <c r="U98"/>
      <c r="V98"/>
      <c r="W98"/>
      <c r="X98"/>
    </row>
    <row r="99" spans="2:24">
      <c r="C99" s="13"/>
      <c r="D99" s="13"/>
      <c r="E99" s="13"/>
      <c r="N99"/>
      <c r="O99" s="290"/>
      <c r="P99"/>
      <c r="Q99"/>
      <c r="R99"/>
      <c r="S99"/>
      <c r="T99"/>
      <c r="U99"/>
      <c r="V99"/>
      <c r="W99"/>
      <c r="X99"/>
    </row>
    <row r="100" spans="2:24">
      <c r="O100" s="290"/>
    </row>
    <row r="101" spans="2:24">
      <c r="O101" s="290"/>
    </row>
    <row r="102" spans="2:24">
      <c r="O102" s="290"/>
    </row>
    <row r="103" spans="2:24">
      <c r="O103" s="290"/>
    </row>
    <row r="104" spans="2:24">
      <c r="O104" s="290"/>
    </row>
    <row r="105" spans="2:24">
      <c r="O105" s="290"/>
    </row>
    <row r="106" spans="2:24">
      <c r="O106" s="290"/>
    </row>
    <row r="107" spans="2:24">
      <c r="O107" s="290"/>
      <c r="R107" s="316"/>
    </row>
    <row r="108" spans="2:24">
      <c r="O108" s="290"/>
    </row>
    <row r="109" spans="2:24">
      <c r="O109" s="290"/>
    </row>
    <row r="110" spans="2:24">
      <c r="G110" s="290"/>
      <c r="O110" s="290"/>
    </row>
    <row r="111" spans="2:24">
      <c r="G111" s="290"/>
      <c r="O111" s="290"/>
    </row>
    <row r="112" spans="2:24">
      <c r="G112" s="290"/>
      <c r="O112" s="290"/>
    </row>
    <row r="113" spans="7:26">
      <c r="G113" s="290"/>
      <c r="H113"/>
      <c r="I113"/>
      <c r="J113"/>
      <c r="K113"/>
      <c r="L113"/>
      <c r="M113"/>
      <c r="N113"/>
      <c r="O113" s="290"/>
      <c r="P113"/>
      <c r="Q113"/>
      <c r="R113"/>
      <c r="S113"/>
      <c r="T113"/>
      <c r="U113"/>
      <c r="V113"/>
      <c r="W113"/>
      <c r="X113"/>
      <c r="Y113"/>
      <c r="Z113"/>
    </row>
    <row r="114" spans="7:26">
      <c r="G114" s="290"/>
      <c r="H114"/>
      <c r="I114"/>
      <c r="J114"/>
      <c r="K114"/>
      <c r="L114"/>
      <c r="M114"/>
      <c r="N114"/>
      <c r="O114" s="290"/>
      <c r="P114"/>
      <c r="Q114"/>
      <c r="R114"/>
      <c r="S114"/>
      <c r="T114"/>
      <c r="U114"/>
      <c r="V114"/>
      <c r="W114"/>
      <c r="X114"/>
      <c r="Y114"/>
      <c r="Z114"/>
    </row>
    <row r="115" spans="7:26">
      <c r="G115" s="290"/>
      <c r="H115"/>
      <c r="I115"/>
      <c r="J115"/>
      <c r="K115"/>
      <c r="L115"/>
      <c r="M115"/>
      <c r="N115"/>
      <c r="O115" s="290"/>
      <c r="P115"/>
      <c r="Q115"/>
      <c r="R115"/>
      <c r="S115"/>
      <c r="T115"/>
      <c r="U115"/>
      <c r="V115"/>
      <c r="W115"/>
      <c r="X115"/>
      <c r="Y115"/>
      <c r="Z115"/>
    </row>
    <row r="116" spans="7:26">
      <c r="G116" s="290"/>
      <c r="H116"/>
      <c r="I116"/>
      <c r="J116"/>
      <c r="K116"/>
      <c r="L116"/>
      <c r="M116"/>
      <c r="N116"/>
      <c r="O116" s="290"/>
      <c r="P116"/>
      <c r="Q116"/>
      <c r="R116"/>
      <c r="S116"/>
      <c r="T116"/>
      <c r="U116"/>
      <c r="V116"/>
      <c r="W116"/>
      <c r="X116"/>
      <c r="Y116"/>
      <c r="Z116"/>
    </row>
    <row r="117" spans="7:26">
      <c r="G117" s="290"/>
      <c r="H117"/>
      <c r="I117"/>
      <c r="J117"/>
      <c r="K117"/>
      <c r="L117"/>
      <c r="M117"/>
      <c r="N117"/>
      <c r="O117" s="290"/>
      <c r="P117"/>
      <c r="Q117"/>
      <c r="R117"/>
      <c r="S117"/>
      <c r="T117"/>
      <c r="U117"/>
      <c r="V117"/>
      <c r="W117"/>
      <c r="X117"/>
      <c r="Y117"/>
      <c r="Z117"/>
    </row>
    <row r="118" spans="7:26">
      <c r="H118"/>
      <c r="I118"/>
      <c r="J118"/>
      <c r="K118"/>
      <c r="L118"/>
      <c r="M118"/>
      <c r="N118"/>
      <c r="O118" s="290"/>
      <c r="P118"/>
      <c r="Q118"/>
      <c r="R118"/>
      <c r="S118"/>
      <c r="T118"/>
      <c r="U118"/>
      <c r="V118"/>
      <c r="W118"/>
      <c r="X118"/>
      <c r="Y118"/>
      <c r="Z118"/>
    </row>
    <row r="119" spans="7:26">
      <c r="O119" s="290"/>
    </row>
    <row r="120" spans="7:26">
      <c r="O120" s="290"/>
    </row>
  </sheetData>
  <mergeCells count="14">
    <mergeCell ref="G87:G91"/>
    <mergeCell ref="G78:G82"/>
    <mergeCell ref="B75:E75"/>
    <mergeCell ref="C3:D3"/>
    <mergeCell ref="C4:D4"/>
    <mergeCell ref="C5:D5"/>
    <mergeCell ref="C6:D6"/>
    <mergeCell ref="M3:N3"/>
    <mergeCell ref="J4:J5"/>
    <mergeCell ref="K4:L5"/>
    <mergeCell ref="M4:N5"/>
    <mergeCell ref="H85:M85"/>
    <mergeCell ref="H76:M76"/>
    <mergeCell ref="K3:L3"/>
  </mergeCells>
  <conditionalFormatting sqref="I78:M82 I87:M91">
    <cfRule type="cellIs" dxfId="5" priority="21" operator="lessThan">
      <formula>#REF!</formula>
    </cfRule>
  </conditionalFormatting>
  <conditionalFormatting sqref="I50">
    <cfRule type="cellIs" dxfId="4" priority="1" operator="greaterThan">
      <formula>0.07</formula>
    </cfRule>
  </conditionalFormatting>
  <dataValidations count="1">
    <dataValidation type="list" allowBlank="1" showInputMessage="1" showErrorMessage="1" sqref="H6" xr:uid="{9DE43AB4-EC1F-4DC0-BE7F-54711186C5A6}">
      <formula1>"0,1"</formula1>
    </dataValidation>
  </dataValidations>
  <pageMargins left="0.7" right="0.7" top="0.75" bottom="0.75" header="0.3" footer="0.3"/>
  <pageSetup paperSize="9" orientation="portrait" r:id="rId1"/>
  <ignoredErrors>
    <ignoredError sqref="D70" formula="1"/>
  </ignoredError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B679-F02E-44B5-A6F9-1C28047B4C8E}">
  <sheetPr>
    <tabColor theme="7" tint="0.39997558519241921"/>
  </sheetPr>
  <dimension ref="A1:X194"/>
  <sheetViews>
    <sheetView zoomScaleNormal="100" workbookViewId="0"/>
  </sheetViews>
  <sheetFormatPr defaultColWidth="8.85546875" defaultRowHeight="15"/>
  <cols>
    <col min="1" max="1" width="1.7109375" style="51" customWidth="1"/>
    <col min="2" max="2" width="47.42578125" style="51" customWidth="1"/>
    <col min="3" max="3" width="15.5703125" style="51" customWidth="1"/>
    <col min="4" max="5" width="11.42578125" style="51" customWidth="1"/>
    <col min="6" max="10" width="12.7109375" style="51" customWidth="1"/>
    <col min="11" max="15" width="12.7109375" style="108" customWidth="1"/>
    <col min="16" max="16" width="2.28515625" style="51" customWidth="1"/>
    <col min="17" max="17" width="21.28515625" style="51" customWidth="1"/>
    <col min="18" max="18" width="11.85546875" style="51" customWidth="1"/>
    <col min="19" max="21" width="10.28515625" style="51" bestFit="1" customWidth="1"/>
    <col min="22" max="23" width="9.42578125" style="51" bestFit="1" customWidth="1"/>
    <col min="24" max="16384" width="8.85546875" style="51"/>
  </cols>
  <sheetData>
    <row r="1" spans="1:24" ht="15.75" thickBot="1">
      <c r="B1" s="100" t="str">
        <f>"Financial Statement Model for "&amp;Valuation!C3</f>
        <v>Financial Statement Model for Tesla</v>
      </c>
      <c r="C1" s="54"/>
      <c r="D1" s="54"/>
      <c r="E1" s="54"/>
      <c r="F1" s="54"/>
      <c r="G1" s="53"/>
      <c r="H1" s="53"/>
      <c r="I1" s="53"/>
      <c r="J1" s="53"/>
      <c r="K1" s="96"/>
      <c r="L1" s="96"/>
      <c r="M1" s="96"/>
      <c r="N1" s="96"/>
      <c r="O1" s="96"/>
    </row>
    <row r="2" spans="1:24">
      <c r="B2" s="99" t="s">
        <v>189</v>
      </c>
      <c r="C2" s="54"/>
      <c r="D2" s="54"/>
      <c r="E2" s="54"/>
      <c r="F2" s="54"/>
      <c r="J2" s="13"/>
      <c r="K2" s="13"/>
      <c r="L2" s="13"/>
      <c r="M2" s="13"/>
      <c r="N2" s="13"/>
      <c r="O2" s="13"/>
    </row>
    <row r="3" spans="1:24" ht="15" customHeight="1">
      <c r="B3" s="102" t="s">
        <v>286</v>
      </c>
      <c r="C3" s="423">
        <v>1</v>
      </c>
      <c r="D3" s="13"/>
      <c r="E3" s="102"/>
      <c r="F3" s="102"/>
      <c r="G3" s="102"/>
      <c r="H3" s="13"/>
      <c r="I3" s="13"/>
      <c r="J3" s="13"/>
      <c r="K3" s="13"/>
      <c r="L3" s="13"/>
      <c r="M3" s="13"/>
      <c r="N3" s="13"/>
      <c r="O3" s="13"/>
    </row>
    <row r="4" spans="1:24" s="108" customFormat="1" ht="15" customHeight="1">
      <c r="B4" s="102"/>
      <c r="C4" s="102"/>
      <c r="D4" s="13"/>
      <c r="E4" s="102"/>
      <c r="F4" s="102"/>
      <c r="G4" s="102"/>
      <c r="H4" s="13"/>
      <c r="I4" s="13"/>
      <c r="J4" s="13"/>
      <c r="K4" s="13"/>
      <c r="L4" s="13"/>
      <c r="M4" s="13"/>
      <c r="N4" s="13"/>
      <c r="O4" s="13"/>
    </row>
    <row r="5" spans="1:24" s="55" customFormat="1" ht="15" customHeight="1">
      <c r="A5" s="151"/>
      <c r="B5" s="234"/>
      <c r="C5" s="235">
        <f t="shared" ref="C5:O5" si="0">C13</f>
        <v>2018</v>
      </c>
      <c r="D5" s="235">
        <f t="shared" si="0"/>
        <v>2019</v>
      </c>
      <c r="E5" s="235">
        <f t="shared" si="0"/>
        <v>2020</v>
      </c>
      <c r="F5" s="235">
        <f t="shared" si="0"/>
        <v>2021</v>
      </c>
      <c r="G5" s="235">
        <f t="shared" si="0"/>
        <v>2022</v>
      </c>
      <c r="H5" s="235">
        <f t="shared" si="0"/>
        <v>2023</v>
      </c>
      <c r="I5" s="235">
        <f t="shared" si="0"/>
        <v>2024</v>
      </c>
      <c r="J5" s="235">
        <f t="shared" si="0"/>
        <v>2025</v>
      </c>
      <c r="K5" s="235">
        <f t="shared" si="0"/>
        <v>2026</v>
      </c>
      <c r="L5" s="235">
        <f t="shared" si="0"/>
        <v>2027</v>
      </c>
      <c r="M5" s="235">
        <f t="shared" si="0"/>
        <v>2028</v>
      </c>
      <c r="N5" s="235">
        <f t="shared" si="0"/>
        <v>2029</v>
      </c>
      <c r="O5" s="235">
        <f t="shared" si="0"/>
        <v>2030</v>
      </c>
    </row>
    <row r="6" spans="1:24" ht="15" customHeight="1">
      <c r="B6" s="236" t="s">
        <v>208</v>
      </c>
      <c r="C6" s="237"/>
      <c r="D6" s="237">
        <f t="shared" ref="D6:O6" si="1">D16/C16-1</f>
        <v>0.14524020315921904</v>
      </c>
      <c r="E6" s="238">
        <f t="shared" si="1"/>
        <v>0.28309870615998056</v>
      </c>
      <c r="F6" s="238">
        <f t="shared" ca="1" si="1"/>
        <v>0.24900507093351965</v>
      </c>
      <c r="G6" s="238">
        <f t="shared" ca="1" si="1"/>
        <v>0.372611873278345</v>
      </c>
      <c r="H6" s="238">
        <f t="shared" ca="1" si="1"/>
        <v>0.46109946267388824</v>
      </c>
      <c r="I6" s="238">
        <f t="shared" ca="1" si="1"/>
        <v>0.44275288374032162</v>
      </c>
      <c r="J6" s="238">
        <f t="shared" ca="1" si="1"/>
        <v>0.44316653042394183</v>
      </c>
      <c r="K6" s="238">
        <f t="shared" ca="1" si="1"/>
        <v>0.45266567891674692</v>
      </c>
      <c r="L6" s="238">
        <f t="shared" ca="1" si="1"/>
        <v>0.46842696905793346</v>
      </c>
      <c r="M6" s="238">
        <f t="shared" ca="1" si="1"/>
        <v>0.4857199067194049</v>
      </c>
      <c r="N6" s="238">
        <f t="shared" ca="1" si="1"/>
        <v>0.50965199846450537</v>
      </c>
      <c r="O6" s="238">
        <f t="shared" ca="1" si="1"/>
        <v>0.53744303529058368</v>
      </c>
      <c r="P6" s="13"/>
      <c r="Q6" s="13"/>
      <c r="S6" s="70"/>
      <c r="T6" s="70"/>
      <c r="U6" s="70"/>
      <c r="V6" s="70"/>
      <c r="W6" s="70"/>
      <c r="X6" s="70"/>
    </row>
    <row r="7" spans="1:24">
      <c r="B7" s="236" t="s">
        <v>209</v>
      </c>
      <c r="C7" s="237">
        <f>C18/C16</f>
        <v>0.18834164298028983</v>
      </c>
      <c r="D7" s="237">
        <f>D18/D16</f>
        <v>0.1655545609895028</v>
      </c>
      <c r="E7" s="237">
        <f>E18/E16</f>
        <v>0.2102359208523592</v>
      </c>
      <c r="F7" s="237">
        <f ca="1">(Valuation!F15*Valuation!F14+Valuation!F19*Valuation!F18+Valuation!F17*Valuation!$V$21+Valuation!$V$19*Valuation!F16)/(Valuation!F14+Valuation!F16+Valuation!F17+Valuation!F18)</f>
        <v>0.23251702603044286</v>
      </c>
      <c r="G7" s="237">
        <f ca="1">(Valuation!G15*Valuation!G14+Valuation!G19*Valuation!G18+Valuation!G17*Valuation!$V$21+Valuation!$V$19*Valuation!G16)/(Valuation!G14+Valuation!G16+Valuation!G17+Valuation!G18)</f>
        <v>0.23503653829045429</v>
      </c>
      <c r="H7" s="237">
        <f ca="1">(Valuation!H15*Valuation!H14+Valuation!H19*Valuation!H18+Valuation!H17*Valuation!$V$21+Valuation!$V$19*Valuation!H16)/(Valuation!H14+Valuation!H16+Valuation!H17+Valuation!H18)</f>
        <v>0.25494884628983716</v>
      </c>
      <c r="I7" s="237">
        <f ca="1">(Valuation!I15*Valuation!I14+Valuation!I19*Valuation!I18+Valuation!I17*Valuation!$V$21+Valuation!$V$19*Valuation!I16)/(Valuation!I14+Valuation!I16+Valuation!I17+Valuation!I18)</f>
        <v>0.26787486359773716</v>
      </c>
      <c r="J7" s="237">
        <f ca="1">(Valuation!J15*Valuation!J14+Valuation!J19*Valuation!J18+Valuation!J17*Valuation!$V$21+Valuation!$V$19*Valuation!J16)/(Valuation!J14+Valuation!J16+Valuation!J17+Valuation!J18)</f>
        <v>0.27794551319027933</v>
      </c>
      <c r="K7" s="237">
        <f ca="1">(Valuation!K15*Valuation!K14+Valuation!K19*Valuation!K18+Valuation!K17*Valuation!$V$21+Valuation!$V$19*Valuation!K16)/(Valuation!K14+Valuation!K16+Valuation!K17+Valuation!K18)</f>
        <v>0.28642840261953734</v>
      </c>
      <c r="L7" s="237">
        <f ca="1">(Valuation!L15*Valuation!L14+Valuation!L19*Valuation!L18+Valuation!L17*Valuation!$V$21+Valuation!$V$19*Valuation!L16)/(Valuation!L14+Valuation!L16+Valuation!L17+Valuation!L18)</f>
        <v>0.29401148770047097</v>
      </c>
      <c r="M7" s="237">
        <f ca="1">(Valuation!M15*Valuation!M14+Valuation!M19*Valuation!M18+Valuation!M17*Valuation!$V$21+Valuation!$V$19*Valuation!M16)/(Valuation!M14+Valuation!M16+Valuation!M17+Valuation!M18)</f>
        <v>0.30072211974922791</v>
      </c>
      <c r="N7" s="237">
        <f ca="1">(Valuation!N15*Valuation!N14+Valuation!N19*Valuation!N18+Valuation!N17*Valuation!$V$21+Valuation!$V$19*Valuation!N16)/(Valuation!N14+Valuation!N16+Valuation!N17+Valuation!N18)</f>
        <v>0.30737736202042543</v>
      </c>
      <c r="O7" s="237">
        <f ca="1">(Valuation!O15*Valuation!O14+Valuation!O19*Valuation!O18+Valuation!O17*Valuation!$V$21+Valuation!$V$19*Valuation!O16)/(Valuation!O14+Valuation!O16+Valuation!O17+Valuation!O18)</f>
        <v>0.31449966057769602</v>
      </c>
      <c r="Q7" s="108"/>
      <c r="S7" s="70"/>
      <c r="T7" s="70"/>
      <c r="U7" s="70"/>
      <c r="V7" s="70"/>
      <c r="W7" s="70"/>
      <c r="X7" s="70"/>
    </row>
    <row r="8" spans="1:24">
      <c r="B8" s="236" t="s">
        <v>210</v>
      </c>
      <c r="C8" s="237">
        <f>-C19/C16</f>
        <v>6.8030380690554962E-2</v>
      </c>
      <c r="D8" s="237">
        <f>-D19/D16</f>
        <v>5.4642363088941333E-2</v>
      </c>
      <c r="E8" s="237">
        <f>-E19/E16</f>
        <v>4.7279299847792999E-2</v>
      </c>
      <c r="F8" s="237">
        <f ca="1">Valuation!F21</f>
        <v>3.9414416736737859E-2</v>
      </c>
      <c r="G8" s="237">
        <f ca="1">Valuation!G21</f>
        <v>3.2857852203785516E-2</v>
      </c>
      <c r="H8" s="237">
        <f ca="1">Valuation!H21</f>
        <v>2.7391968239872253E-2</v>
      </c>
      <c r="I8" s="237">
        <f ca="1">Valuation!I21</f>
        <v>2.2835330787924317E-2</v>
      </c>
      <c r="J8" s="237">
        <f ca="1">Valuation!J21</f>
        <v>1.9036687237205852E-2</v>
      </c>
      <c r="K8" s="237">
        <f ca="1">Valuation!K21</f>
        <v>1.7453316497533952E-2</v>
      </c>
      <c r="L8" s="237">
        <f ca="1">Valuation!L21</f>
        <v>1.6001642143268293E-2</v>
      </c>
      <c r="M8" s="237">
        <f ca="1">Valuation!M21</f>
        <v>1.467071036713272E-2</v>
      </c>
      <c r="N8" s="237">
        <f ca="1">Valuation!N21</f>
        <v>1.3450478441479218E-2</v>
      </c>
      <c r="O8" s="237">
        <f ca="1">Valuation!O21</f>
        <v>1.2331738939513653E-2</v>
      </c>
      <c r="Q8" s="108"/>
      <c r="S8" s="70"/>
      <c r="T8" s="70"/>
      <c r="U8" s="70"/>
      <c r="V8" s="70"/>
      <c r="W8" s="70"/>
      <c r="X8" s="70"/>
    </row>
    <row r="9" spans="1:24">
      <c r="B9" s="236" t="s">
        <v>211</v>
      </c>
      <c r="C9" s="237">
        <f>-C20/C16</f>
        <v>0.1321000885326872</v>
      </c>
      <c r="D9" s="237">
        <f>-D20/D16</f>
        <v>0.10765725445520384</v>
      </c>
      <c r="E9" s="237">
        <f>-E20/E16</f>
        <v>0.1010908168442415</v>
      </c>
      <c r="F9" s="237">
        <f ca="1">Valuation!F22</f>
        <v>8.8433335182719647E-2</v>
      </c>
      <c r="G9" s="237">
        <f ca="1">Valuation!G22</f>
        <v>7.7360684339793442E-2</v>
      </c>
      <c r="H9" s="237">
        <f ca="1">Valuation!H22</f>
        <v>6.7674429208801345E-2</v>
      </c>
      <c r="I9" s="237">
        <f ca="1">Valuation!I22</f>
        <v>5.9200980547443965E-2</v>
      </c>
      <c r="J9" s="237">
        <f ca="1">Valuation!J22</f>
        <v>5.1788484051565976E-2</v>
      </c>
      <c r="K9" s="237">
        <f ca="1">Valuation!K22</f>
        <v>4.854629149825665E-2</v>
      </c>
      <c r="L9" s="237">
        <f ca="1">Valuation!L22</f>
        <v>4.5507074813912085E-2</v>
      </c>
      <c r="M9" s="237">
        <f ca="1">Valuation!M22</f>
        <v>4.265812679416222E-2</v>
      </c>
      <c r="N9" s="237">
        <f ca="1">Valuation!N22</f>
        <v>3.9987535762911988E-2</v>
      </c>
      <c r="O9" s="237">
        <f ca="1">Valuation!O22</f>
        <v>3.7484135768685214E-2</v>
      </c>
      <c r="Q9" s="108"/>
      <c r="S9" s="70"/>
      <c r="T9" s="70"/>
      <c r="U9" s="70"/>
      <c r="V9" s="70"/>
      <c r="W9" s="70"/>
      <c r="X9" s="70"/>
    </row>
    <row r="10" spans="1:24">
      <c r="B10" s="236" t="s">
        <v>267</v>
      </c>
      <c r="C10" s="237">
        <f>-(C27/C26)</f>
        <v>-5.7711442786069649E-2</v>
      </c>
      <c r="D10" s="237">
        <f>-(D27/D26)</f>
        <v>-0.16541353383458646</v>
      </c>
      <c r="E10" s="237">
        <f>-(E27/E26)</f>
        <v>0.2530329289428076</v>
      </c>
      <c r="F10" s="239">
        <v>0.21</v>
      </c>
      <c r="G10" s="237">
        <f>F10</f>
        <v>0.21</v>
      </c>
      <c r="H10" s="237">
        <f>G10</f>
        <v>0.21</v>
      </c>
      <c r="I10" s="237">
        <f>H10</f>
        <v>0.21</v>
      </c>
      <c r="J10" s="237">
        <f>I10</f>
        <v>0.21</v>
      </c>
      <c r="K10" s="237">
        <f t="shared" ref="K10:O10" si="2">J10</f>
        <v>0.21</v>
      </c>
      <c r="L10" s="237">
        <f t="shared" si="2"/>
        <v>0.21</v>
      </c>
      <c r="M10" s="237">
        <f t="shared" si="2"/>
        <v>0.21</v>
      </c>
      <c r="N10" s="237">
        <f t="shared" si="2"/>
        <v>0.21</v>
      </c>
      <c r="O10" s="237">
        <f t="shared" si="2"/>
        <v>0.21</v>
      </c>
      <c r="Q10" s="108"/>
      <c r="S10" s="70"/>
      <c r="T10" s="70"/>
      <c r="U10" s="70"/>
      <c r="V10" s="70"/>
      <c r="W10" s="70"/>
      <c r="X10" s="70"/>
    </row>
    <row r="11" spans="1:24" s="108" customFormat="1">
      <c r="B11" s="13"/>
      <c r="C11" s="13"/>
      <c r="D11" s="13"/>
      <c r="E11" s="13"/>
      <c r="F11" s="13"/>
    </row>
    <row r="12" spans="1:24">
      <c r="B12" s="56" t="s">
        <v>193</v>
      </c>
      <c r="C12" s="57"/>
      <c r="D12" s="57"/>
      <c r="E12" s="57"/>
      <c r="F12" s="57"/>
      <c r="G12" s="57"/>
      <c r="H12" s="57"/>
      <c r="I12" s="57"/>
      <c r="J12" s="57"/>
      <c r="K12" s="57"/>
      <c r="L12" s="57"/>
      <c r="M12" s="57"/>
      <c r="N12" s="57"/>
      <c r="O12" s="57"/>
    </row>
    <row r="13" spans="1:24">
      <c r="B13" s="51" t="s">
        <v>194</v>
      </c>
      <c r="C13" s="110">
        <f>D13-1</f>
        <v>2018</v>
      </c>
      <c r="D13" s="110">
        <f>E13-1</f>
        <v>2019</v>
      </c>
      <c r="E13" s="110">
        <f>YEAR(Valuation!C6)</f>
        <v>2020</v>
      </c>
      <c r="F13" s="111">
        <f>E13+1</f>
        <v>2021</v>
      </c>
      <c r="G13" s="111">
        <f>F13+1</f>
        <v>2022</v>
      </c>
      <c r="H13" s="111">
        <f>G13+1</f>
        <v>2023</v>
      </c>
      <c r="I13" s="111">
        <f>H13+1</f>
        <v>2024</v>
      </c>
      <c r="J13" s="111">
        <f>I13+1</f>
        <v>2025</v>
      </c>
      <c r="K13" s="111">
        <f t="shared" ref="K13:O13" si="3">J13+1</f>
        <v>2026</v>
      </c>
      <c r="L13" s="111">
        <f t="shared" si="3"/>
        <v>2027</v>
      </c>
      <c r="M13" s="111">
        <f t="shared" si="3"/>
        <v>2028</v>
      </c>
      <c r="N13" s="111">
        <f t="shared" si="3"/>
        <v>2029</v>
      </c>
      <c r="O13" s="111">
        <f t="shared" si="3"/>
        <v>2030</v>
      </c>
    </row>
    <row r="14" spans="1:24">
      <c r="B14" s="58" t="s">
        <v>195</v>
      </c>
      <c r="C14" s="117">
        <f>EOMONTH(D14,-12)</f>
        <v>43465</v>
      </c>
      <c r="D14" s="117">
        <f>EOMONTH(E14,-12)</f>
        <v>43830</v>
      </c>
      <c r="E14" s="117">
        <f>Valuation!C6</f>
        <v>44196</v>
      </c>
      <c r="F14" s="117">
        <f>EOMONTH(E14,12)</f>
        <v>44561</v>
      </c>
      <c r="G14" s="117">
        <f>EOMONTH(F14,12)</f>
        <v>44926</v>
      </c>
      <c r="H14" s="117">
        <f>EOMONTH(G14,12)</f>
        <v>45291</v>
      </c>
      <c r="I14" s="117">
        <f>EOMONTH(H14,12)</f>
        <v>45657</v>
      </c>
      <c r="J14" s="117">
        <f>EOMONTH(I14,12)</f>
        <v>46022</v>
      </c>
      <c r="K14" s="117">
        <f t="shared" ref="K14:O14" si="4">EOMONTH(J14,12)</f>
        <v>46387</v>
      </c>
      <c r="L14" s="117">
        <f t="shared" si="4"/>
        <v>46752</v>
      </c>
      <c r="M14" s="117">
        <f t="shared" si="4"/>
        <v>47118</v>
      </c>
      <c r="N14" s="117">
        <f t="shared" si="4"/>
        <v>47483</v>
      </c>
      <c r="O14" s="117">
        <f t="shared" si="4"/>
        <v>47848</v>
      </c>
      <c r="Q14" s="152"/>
      <c r="R14" s="152"/>
      <c r="S14" s="152"/>
      <c r="T14" s="152"/>
      <c r="U14" s="152"/>
      <c r="V14" s="152"/>
      <c r="W14" s="152"/>
      <c r="X14" s="152"/>
    </row>
    <row r="15" spans="1:24">
      <c r="B15" s="59"/>
      <c r="C15" s="60"/>
      <c r="D15" s="60"/>
      <c r="E15" s="60"/>
      <c r="F15" s="61"/>
      <c r="G15" s="62"/>
      <c r="H15" s="62"/>
      <c r="I15" s="60"/>
      <c r="J15" s="60"/>
      <c r="K15" s="60"/>
      <c r="L15" s="60"/>
      <c r="M15" s="60"/>
      <c r="N15" s="60"/>
      <c r="O15" s="233"/>
      <c r="Q15" s="152"/>
      <c r="R15" s="152"/>
      <c r="S15" s="152"/>
      <c r="T15" s="152"/>
      <c r="U15" s="152"/>
      <c r="V15" s="152"/>
      <c r="W15" s="152"/>
      <c r="X15" s="152"/>
    </row>
    <row r="16" spans="1:24" ht="15" customHeight="1">
      <c r="B16" s="51" t="s">
        <v>163</v>
      </c>
      <c r="C16" s="107">
        <f>IS!J4</f>
        <v>21461</v>
      </c>
      <c r="D16" s="107">
        <f>IS!K4</f>
        <v>24578</v>
      </c>
      <c r="E16" s="107">
        <f>IS!L4</f>
        <v>31536</v>
      </c>
      <c r="F16" s="105">
        <f ca="1">Valuation!F14+Valuation!F16+Valuation!F17+Valuation!F18</f>
        <v>39388.623916959477</v>
      </c>
      <c r="G16" s="105">
        <f ca="1">Valuation!G14+Valuation!G16+Valuation!G17+Valuation!G18</f>
        <v>54065.292860513975</v>
      </c>
      <c r="H16" s="105">
        <f ca="1">Valuation!H14+Valuation!H16+Valuation!H17+Valuation!H18</f>
        <v>78994.77034780338</v>
      </c>
      <c r="I16" s="105">
        <f ca="1">Valuation!I14+Valuation!I16+Valuation!I17+Valuation!I18</f>
        <v>113969.93271969777</v>
      </c>
      <c r="J16" s="105">
        <f ca="1">Valuation!J14+Valuation!J16+Valuation!J17+Valuation!J18</f>
        <v>164477.59237573631</v>
      </c>
      <c r="K16" s="105">
        <f ca="1">Valuation!K14+Valuation!K16+Valuation!K17+Valuation!K18</f>
        <v>238930.95339509094</v>
      </c>
      <c r="L16" s="105">
        <f ca="1">Valuation!L14+Valuation!L16+Valuation!L17+Valuation!L18</f>
        <v>350852.65570807573</v>
      </c>
      <c r="M16" s="105">
        <f ca="1">Valuation!M14+Valuation!M16+Valuation!M17+Valuation!M18</f>
        <v>521268.77491085778</v>
      </c>
      <c r="N16" s="105">
        <f ca="1">Valuation!N14+Valuation!N16+Valuation!N17+Valuation!N18</f>
        <v>786934.44778132089</v>
      </c>
      <c r="O16" s="105">
        <f ca="1">Valuation!O14+Valuation!O16+Valuation!O17+Valuation!O18</f>
        <v>1209866.8859716333</v>
      </c>
      <c r="R16" s="152"/>
      <c r="S16" s="152"/>
      <c r="T16" s="152"/>
      <c r="U16" s="152"/>
      <c r="V16" s="152"/>
      <c r="W16" s="152"/>
      <c r="X16" s="152"/>
    </row>
    <row r="17" spans="2:24">
      <c r="B17" s="51" t="s">
        <v>265</v>
      </c>
      <c r="C17" s="107">
        <f>IS!J7</f>
        <v>-17419</v>
      </c>
      <c r="D17" s="107">
        <f>IS!K7</f>
        <v>-20509</v>
      </c>
      <c r="E17" s="107">
        <f>IS!L7</f>
        <v>-24906</v>
      </c>
      <c r="F17" s="105">
        <f ca="1">F18-F16</f>
        <v>-30230.098224356487</v>
      </c>
      <c r="G17" s="105">
        <f ca="1">G18-G16</f>
        <v>-41357.973584919157</v>
      </c>
      <c r="H17" s="105">
        <f ca="1">H18-H16</f>
        <v>-58855.144784700271</v>
      </c>
      <c r="I17" s="105">
        <f ca="1">I18-I16</f>
        <v>-83440.252538165456</v>
      </c>
      <c r="J17" s="105">
        <f ca="1">J18-J16</f>
        <v>-118761.78355456071</v>
      </c>
      <c r="K17" s="105">
        <f t="shared" ref="K17:O17" ca="1" si="5">K18-K16</f>
        <v>-170494.3420777719</v>
      </c>
      <c r="L17" s="105">
        <f t="shared" ca="1" si="5"/>
        <v>-247697.94443968323</v>
      </c>
      <c r="M17" s="105">
        <f t="shared" ca="1" si="5"/>
        <v>-364511.72396058147</v>
      </c>
      <c r="N17" s="105">
        <f t="shared" ca="1" si="5"/>
        <v>-545048.61313929828</v>
      </c>
      <c r="O17" s="105">
        <f t="shared" ca="1" si="5"/>
        <v>-829364.16098936053</v>
      </c>
      <c r="R17" s="152"/>
      <c r="S17" s="152"/>
      <c r="T17" s="152"/>
      <c r="U17" s="152"/>
      <c r="V17" s="152"/>
      <c r="W17" s="152"/>
      <c r="X17" s="152"/>
    </row>
    <row r="18" spans="2:24">
      <c r="B18" s="55" t="s">
        <v>6</v>
      </c>
      <c r="C18" s="106">
        <f>SUM(C16:C17)</f>
        <v>4042</v>
      </c>
      <c r="D18" s="106">
        <f>SUM(D16:D17)</f>
        <v>4069</v>
      </c>
      <c r="E18" s="106">
        <f>SUM(E16:E17)</f>
        <v>6630</v>
      </c>
      <c r="F18" s="106">
        <f ca="1">F16*F7</f>
        <v>9158.5256926029906</v>
      </c>
      <c r="G18" s="106">
        <f ca="1">G16*G7</f>
        <v>12707.319275594818</v>
      </c>
      <c r="H18" s="106">
        <f ca="1">H16*H7</f>
        <v>20139.625563103109</v>
      </c>
      <c r="I18" s="106">
        <f ca="1">I16*I7</f>
        <v>30529.68018153232</v>
      </c>
      <c r="J18" s="106">
        <f ca="1">J16*J7</f>
        <v>45715.808821175604</v>
      </c>
      <c r="K18" s="106">
        <f t="shared" ref="K18:O18" ca="1" si="6">K16*K7</f>
        <v>68436.611317319024</v>
      </c>
      <c r="L18" s="106">
        <f t="shared" ca="1" si="6"/>
        <v>103154.71126839249</v>
      </c>
      <c r="M18" s="106">
        <f t="shared" ca="1" si="6"/>
        <v>156757.05095027632</v>
      </c>
      <c r="N18" s="106">
        <f t="shared" ca="1" si="6"/>
        <v>241885.83464202264</v>
      </c>
      <c r="O18" s="106">
        <f t="shared" ca="1" si="6"/>
        <v>380502.72498227272</v>
      </c>
      <c r="Q18" s="152"/>
    </row>
    <row r="19" spans="2:24">
      <c r="B19" s="51" t="s">
        <v>196</v>
      </c>
      <c r="C19" s="107">
        <f>IS!J12</f>
        <v>-1460</v>
      </c>
      <c r="D19" s="107">
        <f>IS!K12</f>
        <v>-1343</v>
      </c>
      <c r="E19" s="107">
        <f>IS!L12</f>
        <v>-1491</v>
      </c>
      <c r="F19" s="105">
        <f ca="1">-F8*F16</f>
        <v>-1552.4796377496807</v>
      </c>
      <c r="G19" s="105">
        <f ca="1">-G8*G16</f>
        <v>-1776.4694021651485</v>
      </c>
      <c r="H19" s="105">
        <f ca="1">-H8*H16</f>
        <v>-2163.8222404830326</v>
      </c>
      <c r="I19" s="105">
        <f ca="1">-I8*I16</f>
        <v>-2602.5411135317772</v>
      </c>
      <c r="J19" s="105">
        <f ca="1">-J8*J16</f>
        <v>-3131.1084835855258</v>
      </c>
      <c r="K19" s="105">
        <f t="shared" ref="K19:O19" ca="1" si="7">-K8*K16</f>
        <v>-4170.1375506620561</v>
      </c>
      <c r="L19" s="105">
        <f t="shared" ca="1" si="7"/>
        <v>-5614.2186416559452</v>
      </c>
      <c r="M19" s="105">
        <f t="shared" ca="1" si="7"/>
        <v>-7647.3832201472933</v>
      </c>
      <c r="N19" s="105">
        <f t="shared" ca="1" si="7"/>
        <v>-10584.644824740009</v>
      </c>
      <c r="O19" s="105">
        <f t="shared" ca="1" si="7"/>
        <v>-14919.762589364514</v>
      </c>
      <c r="Q19" s="152"/>
    </row>
    <row r="20" spans="2:24">
      <c r="B20" s="51" t="s">
        <v>197</v>
      </c>
      <c r="C20" s="107">
        <f>IS!J11</f>
        <v>-2835</v>
      </c>
      <c r="D20" s="107">
        <f>IS!K11</f>
        <v>-2646</v>
      </c>
      <c r="E20" s="107">
        <f>IS!L11</f>
        <v>-3188</v>
      </c>
      <c r="F20" s="105">
        <f ca="1">-F16*F9</f>
        <v>-3483.2673812345652</v>
      </c>
      <c r="G20" s="105">
        <f ca="1">-G16*G9</f>
        <v>-4182.5280547207094</v>
      </c>
      <c r="H20" s="105">
        <f ca="1">-H16*H9</f>
        <v>-5345.9259937679399</v>
      </c>
      <c r="I20" s="105">
        <f ca="1">-I16*I9</f>
        <v>-6747.1317699323254</v>
      </c>
      <c r="J20" s="105">
        <f ca="1">-J16*J9</f>
        <v>-8518.0451695907886</v>
      </c>
      <c r="K20" s="105">
        <f t="shared" ref="K20:O20" ca="1" si="8">-K16*K9</f>
        <v>-11599.21171147446</v>
      </c>
      <c r="L20" s="105">
        <f t="shared" ca="1" si="8"/>
        <v>-15966.278051967141</v>
      </c>
      <c r="M20" s="105">
        <f t="shared" ca="1" si="8"/>
        <v>-22236.349493984977</v>
      </c>
      <c r="N20" s="105">
        <f t="shared" ca="1" si="8"/>
        <v>-31467.569373722967</v>
      </c>
      <c r="O20" s="105">
        <f t="shared" ca="1" si="8"/>
        <v>-45350.814615797091</v>
      </c>
      <c r="Q20" s="152"/>
    </row>
    <row r="21" spans="2:24">
      <c r="B21" s="55" t="s">
        <v>198</v>
      </c>
      <c r="C21" s="106">
        <f t="shared" ref="C21:J21" si="9">C18+C19+C20</f>
        <v>-253</v>
      </c>
      <c r="D21" s="106">
        <f t="shared" si="9"/>
        <v>80</v>
      </c>
      <c r="E21" s="106">
        <f t="shared" si="9"/>
        <v>1951</v>
      </c>
      <c r="F21" s="106">
        <f t="shared" ca="1" si="9"/>
        <v>4122.7786736187445</v>
      </c>
      <c r="G21" s="106">
        <f t="shared" ca="1" si="9"/>
        <v>6748.3218187089606</v>
      </c>
      <c r="H21" s="106">
        <f t="shared" ca="1" si="9"/>
        <v>12629.877328852135</v>
      </c>
      <c r="I21" s="106">
        <f t="shared" ca="1" si="9"/>
        <v>21180.007298068216</v>
      </c>
      <c r="J21" s="106">
        <f t="shared" ca="1" si="9"/>
        <v>34066.655167999284</v>
      </c>
      <c r="K21" s="106">
        <f t="shared" ref="K21:O21" ca="1" si="10">K18+K19+K20</f>
        <v>52667.262055182509</v>
      </c>
      <c r="L21" s="106">
        <f t="shared" ca="1" si="10"/>
        <v>81574.214574769416</v>
      </c>
      <c r="M21" s="106">
        <f t="shared" ca="1" si="10"/>
        <v>126873.31823614406</v>
      </c>
      <c r="N21" s="106">
        <f t="shared" ca="1" si="10"/>
        <v>199833.62044355966</v>
      </c>
      <c r="O21" s="106">
        <f t="shared" ca="1" si="10"/>
        <v>320232.14777711115</v>
      </c>
      <c r="Q21" s="152"/>
    </row>
    <row r="22" spans="2:24">
      <c r="B22" s="51" t="s">
        <v>199</v>
      </c>
      <c r="C22" s="107">
        <f>IS!J18</f>
        <v>24</v>
      </c>
      <c r="D22" s="107">
        <f>IS!K18</f>
        <v>44</v>
      </c>
      <c r="E22" s="107">
        <f>IS!L18</f>
        <v>30</v>
      </c>
      <c r="F22" s="105">
        <f ca="1">F167</f>
        <v>108.67865634182749</v>
      </c>
      <c r="G22" s="105">
        <f ca="1">G167</f>
        <v>142.08159092512724</v>
      </c>
      <c r="H22" s="105">
        <f ca="1">H167</f>
        <v>192.72679564901088</v>
      </c>
      <c r="I22" s="105">
        <f ca="1">I167</f>
        <v>271.78802421091876</v>
      </c>
      <c r="J22" s="105">
        <f ca="1">J167</f>
        <v>392.51384611595262</v>
      </c>
      <c r="K22" s="105">
        <f t="shared" ref="K22:O22" ca="1" si="11">K167</f>
        <v>576.51909290234312</v>
      </c>
      <c r="L22" s="105">
        <f t="shared" ca="1" si="11"/>
        <v>858.79402200468201</v>
      </c>
      <c r="M22" s="105">
        <f t="shared" ca="1" si="11"/>
        <v>1297.8453817812067</v>
      </c>
      <c r="N22" s="105">
        <f t="shared" ca="1" si="11"/>
        <v>1991.9146085823841</v>
      </c>
      <c r="O22" s="105">
        <f t="shared" ca="1" si="11"/>
        <v>3114.7500131839829</v>
      </c>
      <c r="Q22" s="290"/>
    </row>
    <row r="23" spans="2:24">
      <c r="B23" s="51" t="s">
        <v>200</v>
      </c>
      <c r="C23" s="107">
        <f>IS!J17</f>
        <v>-653</v>
      </c>
      <c r="D23" s="107">
        <f>IS!K17</f>
        <v>-725</v>
      </c>
      <c r="E23" s="107">
        <f>IS!L17</f>
        <v>-784</v>
      </c>
      <c r="F23" s="105">
        <f ca="1">-F153</f>
        <v>-749.19987102783648</v>
      </c>
      <c r="G23" s="105">
        <f ca="1">-G153</f>
        <v>-749.19987102783648</v>
      </c>
      <c r="H23" s="105">
        <f ca="1">-H153</f>
        <v>-749.19987102783648</v>
      </c>
      <c r="I23" s="105">
        <f ca="1">-I153</f>
        <v>-749.19987102783648</v>
      </c>
      <c r="J23" s="105">
        <f ca="1">-J153</f>
        <v>-749.19987102783648</v>
      </c>
      <c r="K23" s="105">
        <f t="shared" ref="K23:O23" ca="1" si="12">-K153</f>
        <v>-749.19987102783648</v>
      </c>
      <c r="L23" s="105">
        <f t="shared" ca="1" si="12"/>
        <v>-749.19987102783648</v>
      </c>
      <c r="M23" s="105">
        <f t="shared" ca="1" si="12"/>
        <v>-749.19987102783648</v>
      </c>
      <c r="N23" s="105">
        <f t="shared" ca="1" si="12"/>
        <v>-749.19987102783648</v>
      </c>
      <c r="O23" s="105">
        <f t="shared" ca="1" si="12"/>
        <v>-749.19987102783648</v>
      </c>
      <c r="Q23" s="290"/>
    </row>
    <row r="24" spans="2:24">
      <c r="B24" s="51" t="s">
        <v>201</v>
      </c>
      <c r="C24" s="107">
        <f>IS!J20+IS!J19</f>
        <v>12</v>
      </c>
      <c r="D24" s="107">
        <f>IS!K20+IS!K19</f>
        <v>85</v>
      </c>
      <c r="E24" s="107">
        <f>IS!L20+IS!L19</f>
        <v>-86</v>
      </c>
      <c r="F24" s="105">
        <f>E24</f>
        <v>-86</v>
      </c>
      <c r="G24" s="105">
        <f>F24</f>
        <v>-86</v>
      </c>
      <c r="H24" s="105">
        <f>G24</f>
        <v>-86</v>
      </c>
      <c r="I24" s="105">
        <f>H24</f>
        <v>-86</v>
      </c>
      <c r="J24" s="105">
        <f>I24</f>
        <v>-86</v>
      </c>
      <c r="K24" s="105">
        <f t="shared" ref="K24:O24" si="13">J24</f>
        <v>-86</v>
      </c>
      <c r="L24" s="105">
        <f t="shared" si="13"/>
        <v>-86</v>
      </c>
      <c r="M24" s="105">
        <f t="shared" si="13"/>
        <v>-86</v>
      </c>
      <c r="N24" s="105">
        <f t="shared" si="13"/>
        <v>-86</v>
      </c>
      <c r="O24" s="105">
        <f t="shared" si="13"/>
        <v>-86</v>
      </c>
      <c r="Q24" s="290"/>
    </row>
    <row r="25" spans="2:24">
      <c r="B25" s="51" t="s">
        <v>266</v>
      </c>
      <c r="C25" s="107">
        <f>IS!J22+IS!J24+IS!J25+IS!J26</f>
        <v>-135</v>
      </c>
      <c r="D25" s="107">
        <f>IS!K22+IS!K24+IS!K25+IS!K26</f>
        <v>-149</v>
      </c>
      <c r="E25" s="107">
        <f>IS!L22+IS!L24+IS!L25+IS!L26</f>
        <v>43</v>
      </c>
    </row>
    <row r="26" spans="2:24">
      <c r="B26" s="55" t="s">
        <v>202</v>
      </c>
      <c r="C26" s="106">
        <f t="shared" ref="C26:J26" si="14">SUM(C21:C25)</f>
        <v>-1005</v>
      </c>
      <c r="D26" s="106">
        <f t="shared" si="14"/>
        <v>-665</v>
      </c>
      <c r="E26" s="106">
        <f t="shared" si="14"/>
        <v>1154</v>
      </c>
      <c r="F26" s="106">
        <f t="shared" ca="1" si="14"/>
        <v>3396.2574589327351</v>
      </c>
      <c r="G26" s="106">
        <f t="shared" ca="1" si="14"/>
        <v>6055.2035386062507</v>
      </c>
      <c r="H26" s="106">
        <f t="shared" ca="1" si="14"/>
        <v>11987.404253473309</v>
      </c>
      <c r="I26" s="106">
        <f t="shared" ca="1" si="14"/>
        <v>20616.595451251302</v>
      </c>
      <c r="J26" s="106">
        <f t="shared" ca="1" si="14"/>
        <v>33623.969143087401</v>
      </c>
      <c r="K26" s="106">
        <f t="shared" ref="K26:O26" ca="1" si="15">SUM(K21:K25)</f>
        <v>52408.581277057019</v>
      </c>
      <c r="L26" s="106">
        <f t="shared" ca="1" si="15"/>
        <v>81597.808725746261</v>
      </c>
      <c r="M26" s="106">
        <f t="shared" ca="1" si="15"/>
        <v>127335.96374689743</v>
      </c>
      <c r="N26" s="106">
        <f t="shared" ca="1" si="15"/>
        <v>200990.33518111421</v>
      </c>
      <c r="O26" s="106">
        <f t="shared" ca="1" si="15"/>
        <v>322511.69791926729</v>
      </c>
      <c r="Q26" s="290"/>
      <c r="R26" s="55"/>
    </row>
    <row r="27" spans="2:24">
      <c r="B27" s="51" t="s">
        <v>203</v>
      </c>
      <c r="C27" s="107">
        <f>IS!J29</f>
        <v>-58</v>
      </c>
      <c r="D27" s="107">
        <f>IS!K29</f>
        <v>-110</v>
      </c>
      <c r="E27" s="107">
        <f>IS!L29</f>
        <v>-292</v>
      </c>
      <c r="F27" s="105">
        <f ca="1">-F10*F26</f>
        <v>-713.21406637587438</v>
      </c>
      <c r="G27" s="105">
        <f ca="1">-G10*G26</f>
        <v>-1271.5927431073126</v>
      </c>
      <c r="H27" s="105">
        <f ca="1">-H10*H26</f>
        <v>-2517.3548932293947</v>
      </c>
      <c r="I27" s="105">
        <f ca="1">-I10*I26</f>
        <v>-4329.4850447627732</v>
      </c>
      <c r="J27" s="105">
        <f ca="1">-J10*J26</f>
        <v>-7061.0335200483541</v>
      </c>
      <c r="K27" s="105">
        <f t="shared" ref="K27:O27" ca="1" si="16">-K10*K26</f>
        <v>-11005.802068181974</v>
      </c>
      <c r="L27" s="105">
        <f t="shared" ca="1" si="16"/>
        <v>-17135.539832406714</v>
      </c>
      <c r="M27" s="105">
        <f t="shared" ca="1" si="16"/>
        <v>-26740.55238684846</v>
      </c>
      <c r="N27" s="105">
        <f t="shared" ca="1" si="16"/>
        <v>-42207.97038803398</v>
      </c>
      <c r="O27" s="105">
        <f t="shared" ca="1" si="16"/>
        <v>-67727.456563046129</v>
      </c>
      <c r="Q27" s="290"/>
    </row>
    <row r="28" spans="2:24" s="52" customFormat="1">
      <c r="B28" s="52" t="s">
        <v>400</v>
      </c>
      <c r="C28" s="107">
        <f>IS!J32</f>
        <v>87</v>
      </c>
      <c r="D28" s="107">
        <f>IS!K32</f>
        <v>-87</v>
      </c>
      <c r="E28" s="107">
        <f>IS!L32</f>
        <v>-141</v>
      </c>
      <c r="F28" s="105">
        <f ca="1">E28*(1+F7)</f>
        <v>-173.78490067029244</v>
      </c>
      <c r="G28" s="105">
        <f t="shared" ref="G28:O28" ca="1" si="17">F28*(1+G7)</f>
        <v>-214.63070213098842</v>
      </c>
      <c r="H28" s="105">
        <f t="shared" ca="1" si="17"/>
        <v>-269.35055201766158</v>
      </c>
      <c r="I28" s="105">
        <f t="shared" ca="1" si="17"/>
        <v>-341.50279439936793</v>
      </c>
      <c r="J28" s="105">
        <f t="shared" ca="1" si="17"/>
        <v>-436.42196384461465</v>
      </c>
      <c r="K28" s="105">
        <f t="shared" ca="1" si="17"/>
        <v>-561.42560981670908</v>
      </c>
      <c r="L28" s="105">
        <f t="shared" ca="1" si="17"/>
        <v>-726.49118859206385</v>
      </c>
      <c r="M28" s="105">
        <f t="shared" ca="1" si="17"/>
        <v>-944.96315880460531</v>
      </c>
      <c r="N28" s="105">
        <f t="shared" ca="1" si="17"/>
        <v>-1235.4234417644532</v>
      </c>
      <c r="O28" s="105">
        <f t="shared" ca="1" si="17"/>
        <v>-1623.9636948691027</v>
      </c>
      <c r="Q28" s="290"/>
    </row>
    <row r="29" spans="2:24">
      <c r="B29" s="55" t="s">
        <v>204</v>
      </c>
      <c r="C29" s="106">
        <f t="shared" ref="C29:J29" si="18">SUM(C26:C28)</f>
        <v>-976</v>
      </c>
      <c r="D29" s="106">
        <f t="shared" si="18"/>
        <v>-862</v>
      </c>
      <c r="E29" s="106">
        <f t="shared" si="18"/>
        <v>721</v>
      </c>
      <c r="F29" s="106">
        <f t="shared" ca="1" si="18"/>
        <v>2509.2584918865682</v>
      </c>
      <c r="G29" s="106">
        <f t="shared" ca="1" si="18"/>
        <v>4568.9800933679498</v>
      </c>
      <c r="H29" s="106">
        <f t="shared" ca="1" si="18"/>
        <v>9200.6988082262524</v>
      </c>
      <c r="I29" s="106">
        <f t="shared" ca="1" si="18"/>
        <v>15945.607612089161</v>
      </c>
      <c r="J29" s="106">
        <f t="shared" ca="1" si="18"/>
        <v>26126.513659194432</v>
      </c>
      <c r="K29" s="106">
        <f t="shared" ref="K29:O29" ca="1" si="19">SUM(K26:K28)</f>
        <v>40841.353599058333</v>
      </c>
      <c r="L29" s="106">
        <f t="shared" ca="1" si="19"/>
        <v>63735.777704747481</v>
      </c>
      <c r="M29" s="106">
        <f t="shared" ca="1" si="19"/>
        <v>99650.448201244362</v>
      </c>
      <c r="N29" s="106">
        <f t="shared" ca="1" si="19"/>
        <v>157546.94135131576</v>
      </c>
      <c r="O29" s="106">
        <f t="shared" ca="1" si="19"/>
        <v>253160.27766135204</v>
      </c>
      <c r="Q29" s="290"/>
    </row>
    <row r="30" spans="2:24">
      <c r="B30" s="66"/>
      <c r="C30" s="80"/>
      <c r="D30" s="80"/>
      <c r="E30" s="80"/>
      <c r="F30" s="80"/>
      <c r="G30" s="80"/>
      <c r="H30" s="80"/>
      <c r="I30" s="80"/>
      <c r="J30" s="80"/>
      <c r="K30" s="80"/>
      <c r="L30" s="80"/>
      <c r="M30" s="80"/>
      <c r="N30" s="80"/>
      <c r="O30" s="80"/>
      <c r="Q30" s="290"/>
    </row>
    <row r="31" spans="2:24">
      <c r="B31" s="67" t="s">
        <v>205</v>
      </c>
      <c r="C31" s="107">
        <f>CFS!J7</f>
        <v>1888</v>
      </c>
      <c r="D31" s="107">
        <f>CFS!K7</f>
        <v>2092</v>
      </c>
      <c r="E31" s="107">
        <f>CFS!L7</f>
        <v>2322</v>
      </c>
      <c r="F31" s="105">
        <f ca="1">F125</f>
        <v>3483.203174551456</v>
      </c>
      <c r="G31" s="105">
        <f ca="1">G125</f>
        <v>3928.2132204885747</v>
      </c>
      <c r="H31" s="105">
        <f ca="1">H125</f>
        <v>4797.9055477436395</v>
      </c>
      <c r="I31" s="105">
        <f ca="1">I125</f>
        <v>6151.3566312739858</v>
      </c>
      <c r="J31" s="105">
        <f ca="1">J125</f>
        <v>8198.7923487250864</v>
      </c>
      <c r="K31" s="105">
        <f t="shared" ref="K31:O31" ca="1" si="20">K125</f>
        <v>11258.108729086029</v>
      </c>
      <c r="L31" s="105">
        <f t="shared" ca="1" si="20"/>
        <v>15824.911895160776</v>
      </c>
      <c r="M31" s="105">
        <f t="shared" ca="1" si="20"/>
        <v>22661.640948706445</v>
      </c>
      <c r="N31" s="105">
        <f t="shared" ca="1" si="20"/>
        <v>33034.639104291578</v>
      </c>
      <c r="O31" s="105">
        <f t="shared" ca="1" si="20"/>
        <v>48972.867291122631</v>
      </c>
      <c r="Q31" s="290"/>
    </row>
    <row r="32" spans="2:24">
      <c r="B32" s="68" t="s">
        <v>38</v>
      </c>
      <c r="C32" s="106">
        <f t="shared" ref="C32:J32" si="21">C21+C31</f>
        <v>1635</v>
      </c>
      <c r="D32" s="106">
        <f t="shared" si="21"/>
        <v>2172</v>
      </c>
      <c r="E32" s="106">
        <f t="shared" si="21"/>
        <v>4273</v>
      </c>
      <c r="F32" s="106">
        <f t="shared" ca="1" si="21"/>
        <v>7605.9818481702005</v>
      </c>
      <c r="G32" s="106">
        <f t="shared" ca="1" si="21"/>
        <v>10676.535039197535</v>
      </c>
      <c r="H32" s="106">
        <f t="shared" ca="1" si="21"/>
        <v>17427.782876595775</v>
      </c>
      <c r="I32" s="106">
        <f t="shared" ca="1" si="21"/>
        <v>27331.363929342202</v>
      </c>
      <c r="J32" s="106">
        <f t="shared" ca="1" si="21"/>
        <v>42265.447516724373</v>
      </c>
      <c r="K32" s="106">
        <f t="shared" ref="K32:O32" ca="1" si="22">K21+K31</f>
        <v>63925.37078426854</v>
      </c>
      <c r="L32" s="106">
        <f t="shared" ca="1" si="22"/>
        <v>97399.126469930197</v>
      </c>
      <c r="M32" s="106">
        <f t="shared" ca="1" si="22"/>
        <v>149534.95918485051</v>
      </c>
      <c r="N32" s="106">
        <f t="shared" ca="1" si="22"/>
        <v>232868.25954785122</v>
      </c>
      <c r="O32" s="106">
        <f t="shared" ca="1" si="22"/>
        <v>369205.01506823377</v>
      </c>
      <c r="Q32" s="290"/>
    </row>
    <row r="33" spans="2:17">
      <c r="B33" s="67" t="s">
        <v>206</v>
      </c>
      <c r="C33" s="107">
        <f>CFS!J11</f>
        <v>749</v>
      </c>
      <c r="D33" s="107">
        <f>CFS!K11</f>
        <v>898</v>
      </c>
      <c r="E33" s="107">
        <f>CFS!L11</f>
        <v>1734</v>
      </c>
      <c r="F33" s="105">
        <f ca="1">E33*(1+F6)</f>
        <v>2165.7747929987231</v>
      </c>
      <c r="G33" s="105">
        <f ca="1">F33*(1+G6)</f>
        <v>2972.7681957169971</v>
      </c>
      <c r="H33" s="105">
        <f ca="1">G33*(1+H6)</f>
        <v>4343.5100134161285</v>
      </c>
      <c r="I33" s="105">
        <f ca="1">H33*(1+I6)</f>
        <v>6266.6115974110826</v>
      </c>
      <c r="J33" s="105">
        <f ca="1">I33*(1+J6)</f>
        <v>9043.7641165501882</v>
      </c>
      <c r="K33" s="105">
        <f t="shared" ref="K33:O33" ca="1" si="23">J33*(1+K6)</f>
        <v>13137.565740331293</v>
      </c>
      <c r="L33" s="105">
        <f t="shared" ca="1" si="23"/>
        <v>19291.555840874025</v>
      </c>
      <c r="M33" s="105">
        <f t="shared" ca="1" si="23"/>
        <v>28661.848544375549</v>
      </c>
      <c r="N33" s="105">
        <f t="shared" ca="1" si="23"/>
        <v>43269.41693470352</v>
      </c>
      <c r="O33" s="105">
        <f t="shared" ca="1" si="23"/>
        <v>66524.263707344362</v>
      </c>
      <c r="Q33" s="290"/>
    </row>
    <row r="34" spans="2:17">
      <c r="B34" s="68" t="s">
        <v>207</v>
      </c>
      <c r="C34" s="106">
        <f t="shared" ref="C34:J34" si="24">SUM(C32:C33)</f>
        <v>2384</v>
      </c>
      <c r="D34" s="106">
        <f t="shared" si="24"/>
        <v>3070</v>
      </c>
      <c r="E34" s="106">
        <f t="shared" si="24"/>
        <v>6007</v>
      </c>
      <c r="F34" s="106">
        <f t="shared" ca="1" si="24"/>
        <v>9771.756641168924</v>
      </c>
      <c r="G34" s="106">
        <f t="shared" ca="1" si="24"/>
        <v>13649.303234914532</v>
      </c>
      <c r="H34" s="106">
        <f t="shared" ca="1" si="24"/>
        <v>21771.292890011904</v>
      </c>
      <c r="I34" s="106">
        <f t="shared" ca="1" si="24"/>
        <v>33597.975526753282</v>
      </c>
      <c r="J34" s="106">
        <f t="shared" ca="1" si="24"/>
        <v>51309.211633274565</v>
      </c>
      <c r="K34" s="106">
        <f t="shared" ref="K34:O34" ca="1" si="25">SUM(K32:K33)</f>
        <v>77062.936524599834</v>
      </c>
      <c r="L34" s="106">
        <f t="shared" ca="1" si="25"/>
        <v>116690.68231080423</v>
      </c>
      <c r="M34" s="106">
        <f t="shared" ca="1" si="25"/>
        <v>178196.80772922607</v>
      </c>
      <c r="N34" s="106">
        <f t="shared" ca="1" si="25"/>
        <v>276137.67648255476</v>
      </c>
      <c r="O34" s="106">
        <f t="shared" ca="1" si="25"/>
        <v>435729.27877557813</v>
      </c>
      <c r="Q34" s="290"/>
    </row>
    <row r="35" spans="2:17" s="108" customFormat="1">
      <c r="B35" s="68"/>
      <c r="C35" s="106"/>
      <c r="D35" s="106"/>
      <c r="E35" s="106"/>
      <c r="F35" s="106"/>
      <c r="G35" s="106"/>
      <c r="H35" s="106"/>
      <c r="I35" s="106"/>
      <c r="J35" s="106"/>
      <c r="K35" s="106"/>
      <c r="L35" s="106"/>
      <c r="M35" s="106"/>
      <c r="N35" s="106"/>
      <c r="O35" s="106"/>
      <c r="Q35" s="290"/>
    </row>
    <row r="36" spans="2:17">
      <c r="B36" s="56" t="s">
        <v>212</v>
      </c>
      <c r="C36" s="71"/>
      <c r="D36" s="71"/>
      <c r="E36" s="71"/>
      <c r="F36" s="57"/>
      <c r="G36" s="57"/>
      <c r="H36" s="57"/>
      <c r="I36" s="57"/>
      <c r="J36" s="57"/>
      <c r="K36" s="57"/>
      <c r="L36" s="57"/>
      <c r="M36" s="57"/>
      <c r="N36" s="57"/>
      <c r="O36" s="57"/>
    </row>
    <row r="37" spans="2:17">
      <c r="B37" s="72" t="str">
        <f>B13</f>
        <v xml:space="preserve">Fiscal year  </v>
      </c>
      <c r="C37" s="110">
        <f>D37-1</f>
        <v>2018</v>
      </c>
      <c r="D37" s="110">
        <f>E37-1</f>
        <v>2019</v>
      </c>
      <c r="E37" s="110">
        <f>$E$13</f>
        <v>2020</v>
      </c>
      <c r="F37" s="111">
        <f>E37+1</f>
        <v>2021</v>
      </c>
      <c r="G37" s="111">
        <f>F37+1</f>
        <v>2022</v>
      </c>
      <c r="H37" s="111">
        <f>G37+1</f>
        <v>2023</v>
      </c>
      <c r="I37" s="111">
        <f>H37+1</f>
        <v>2024</v>
      </c>
      <c r="J37" s="111">
        <f>I37+1</f>
        <v>2025</v>
      </c>
      <c r="K37" s="111">
        <f t="shared" ref="K37:O37" si="26">J37+1</f>
        <v>2026</v>
      </c>
      <c r="L37" s="111">
        <f t="shared" si="26"/>
        <v>2027</v>
      </c>
      <c r="M37" s="111">
        <f t="shared" si="26"/>
        <v>2028</v>
      </c>
      <c r="N37" s="111">
        <f t="shared" si="26"/>
        <v>2029</v>
      </c>
      <c r="O37" s="111">
        <f t="shared" si="26"/>
        <v>2030</v>
      </c>
    </row>
    <row r="38" spans="2:17">
      <c r="B38" s="57" t="str">
        <f>B14</f>
        <v>Fiscal year end date</v>
      </c>
      <c r="C38" s="109"/>
      <c r="D38" s="109">
        <f t="shared" ref="D38:J38" si="27">D14</f>
        <v>43830</v>
      </c>
      <c r="E38" s="109">
        <f t="shared" si="27"/>
        <v>44196</v>
      </c>
      <c r="F38" s="109">
        <f t="shared" si="27"/>
        <v>44561</v>
      </c>
      <c r="G38" s="109">
        <f t="shared" si="27"/>
        <v>44926</v>
      </c>
      <c r="H38" s="109">
        <f t="shared" si="27"/>
        <v>45291</v>
      </c>
      <c r="I38" s="109">
        <f t="shared" si="27"/>
        <v>45657</v>
      </c>
      <c r="J38" s="109">
        <f t="shared" si="27"/>
        <v>46022</v>
      </c>
      <c r="K38" s="109">
        <f t="shared" ref="K38:O38" si="28">K14</f>
        <v>46387</v>
      </c>
      <c r="L38" s="109">
        <f t="shared" si="28"/>
        <v>46752</v>
      </c>
      <c r="M38" s="109">
        <f t="shared" si="28"/>
        <v>47118</v>
      </c>
      <c r="N38" s="109">
        <f t="shared" si="28"/>
        <v>47483</v>
      </c>
      <c r="O38" s="109">
        <f t="shared" si="28"/>
        <v>47848</v>
      </c>
    </row>
    <row r="39" spans="2:17" s="127" customFormat="1" ht="15" customHeight="1">
      <c r="B39" s="127" t="s">
        <v>268</v>
      </c>
      <c r="C39" s="112">
        <f>BS!J6+BS!J11+BS!J17</f>
        <v>3891</v>
      </c>
      <c r="D39" s="112">
        <f>BS!K6+BS!K11+BS!K17</f>
        <v>6515</v>
      </c>
      <c r="E39" s="112">
        <f>BS!L6+BS!L11+BS!L17</f>
        <v>19622</v>
      </c>
      <c r="F39" s="113">
        <f ca="1">F87+E39</f>
        <v>25502.144073329124</v>
      </c>
      <c r="G39" s="113">
        <f ca="1">G87+F39</f>
        <v>33491.133860727488</v>
      </c>
      <c r="H39" s="113">
        <f ca="1">H87+G39</f>
        <v>46530.390018841557</v>
      </c>
      <c r="I39" s="113">
        <f ca="1">I87+H39</f>
        <v>66317.913178101822</v>
      </c>
      <c r="J39" s="113">
        <f ca="1">J87+I39</f>
        <v>96656.602141664465</v>
      </c>
      <c r="K39" s="113">
        <f t="shared" ref="K39:O39" ca="1" si="29">K87+J39</f>
        <v>142718.18850099365</v>
      </c>
      <c r="L39" s="113">
        <f t="shared" ca="1" si="29"/>
        <v>213859.14216055884</v>
      </c>
      <c r="M39" s="113">
        <f t="shared" ca="1" si="29"/>
        <v>325015.40748604218</v>
      </c>
      <c r="N39" s="113">
        <f t="shared" ca="1" si="29"/>
        <v>502041.57688382035</v>
      </c>
      <c r="O39" s="113">
        <f t="shared" ca="1" si="29"/>
        <v>791224.5811485711</v>
      </c>
      <c r="Q39" s="419"/>
    </row>
    <row r="40" spans="2:17" s="127" customFormat="1" ht="15" customHeight="1">
      <c r="B40" s="127" t="s">
        <v>213</v>
      </c>
      <c r="C40" s="114">
        <f>BS!J7+BS!J20</f>
        <v>1371</v>
      </c>
      <c r="D40" s="114">
        <f>BS!K7+BS!K20</f>
        <v>1324</v>
      </c>
      <c r="E40" s="114">
        <f>BS!L7+BS!L20</f>
        <v>1977</v>
      </c>
      <c r="F40" s="115">
        <f ca="1">E40*(1+F6)</f>
        <v>2469.2830252355684</v>
      </c>
      <c r="G40" s="115">
        <f ca="1">F40*(1+G6)</f>
        <v>3389.3671989230124</v>
      </c>
      <c r="H40" s="115">
        <f ca="1">G40*(1+H6)</f>
        <v>4952.2025931509152</v>
      </c>
      <c r="I40" s="115">
        <f ca="1">H40*(1+I6)</f>
        <v>7144.8045721347817</v>
      </c>
      <c r="J40" s="115">
        <f ca="1">I40*(1+J6)</f>
        <v>10311.142824924869</v>
      </c>
      <c r="K40" s="115">
        <f t="shared" ref="K40:O40" ca="1" si="30">J40*(1+K6)</f>
        <v>14978.643292177028</v>
      </c>
      <c r="L40" s="115">
        <f t="shared" ca="1" si="30"/>
        <v>21995.043770131459</v>
      </c>
      <c r="M40" s="115">
        <f t="shared" ca="1" si="30"/>
        <v>32678.47437844894</v>
      </c>
      <c r="N40" s="115">
        <f t="shared" ca="1" si="30"/>
        <v>49333.124152196579</v>
      </c>
      <c r="O40" s="115">
        <f t="shared" ca="1" si="30"/>
        <v>75846.868136920311</v>
      </c>
    </row>
    <row r="41" spans="2:17" s="127" customFormat="1">
      <c r="B41" s="127" t="s">
        <v>214</v>
      </c>
      <c r="C41" s="128">
        <f>BS!J9</f>
        <v>3113</v>
      </c>
      <c r="D41" s="128">
        <f>BS!K9</f>
        <v>3552</v>
      </c>
      <c r="E41" s="128">
        <f>BS!L9</f>
        <v>4101</v>
      </c>
      <c r="F41" s="129">
        <f ca="1">E41*F17/E17</f>
        <v>4977.6613192839459</v>
      </c>
      <c r="G41" s="129">
        <f ca="1">F41*G17/F17</f>
        <v>6809.9674645367977</v>
      </c>
      <c r="H41" s="129">
        <f ca="1">G41*H17/G17</f>
        <v>9691.0362467700888</v>
      </c>
      <c r="I41" s="129">
        <f ca="1">H41*I17/H17</f>
        <v>13739.198412391255</v>
      </c>
      <c r="J41" s="129">
        <f ca="1">I41*J17/I17</f>
        <v>19555.210566018373</v>
      </c>
      <c r="K41" s="129">
        <f t="shared" ref="K41:O41" ca="1" si="31">J41*K17/J17</f>
        <v>28073.448039064595</v>
      </c>
      <c r="L41" s="129">
        <f t="shared" ca="1" si="31"/>
        <v>40785.725132383406</v>
      </c>
      <c r="M41" s="129">
        <f t="shared" ca="1" si="31"/>
        <v>60020.179071803774</v>
      </c>
      <c r="N41" s="129">
        <f t="shared" ca="1" si="31"/>
        <v>89747.224061843022</v>
      </c>
      <c r="O41" s="129">
        <f t="shared" ca="1" si="31"/>
        <v>136562.37148548011</v>
      </c>
      <c r="Q41" s="127" t="s">
        <v>411</v>
      </c>
    </row>
    <row r="42" spans="2:17" s="127" customFormat="1">
      <c r="B42" s="127" t="s">
        <v>175</v>
      </c>
      <c r="C42" s="128">
        <f>BS!J10</f>
        <v>366</v>
      </c>
      <c r="D42" s="128">
        <f>BS!K10</f>
        <v>713</v>
      </c>
      <c r="E42" s="128">
        <f>BS!L10</f>
        <v>1091</v>
      </c>
      <c r="F42" s="129">
        <f ca="1">E42*(1+F6)</f>
        <v>1362.66453238847</v>
      </c>
      <c r="G42" s="129">
        <f ca="1">F42*(1+G6)</f>
        <v>1870.4095164516978</v>
      </c>
      <c r="H42" s="129">
        <f ca="1">G42*(1+H6)</f>
        <v>2732.8543394677026</v>
      </c>
      <c r="I42" s="129">
        <f ca="1">H42*(1+I6)</f>
        <v>3942.8334791092798</v>
      </c>
      <c r="J42" s="129">
        <f ca="1">I42*(1+J6)</f>
        <v>5690.165312085499</v>
      </c>
      <c r="K42" s="129">
        <f t="shared" ref="K42:O42" ca="1" si="32">J42*(1+K6)</f>
        <v>8265.9078562292052</v>
      </c>
      <c r="L42" s="129">
        <f t="shared" ca="1" si="32"/>
        <v>12137.882019834813</v>
      </c>
      <c r="M42" s="129">
        <f t="shared" ca="1" si="32"/>
        <v>18033.492942280121</v>
      </c>
      <c r="N42" s="129">
        <f t="shared" ca="1" si="32"/>
        <v>27224.298659608739</v>
      </c>
      <c r="O42" s="129">
        <f t="shared" ca="1" si="32"/>
        <v>41855.80836488623</v>
      </c>
    </row>
    <row r="43" spans="2:17" s="127" customFormat="1">
      <c r="B43" s="127" t="s">
        <v>273</v>
      </c>
      <c r="C43" s="128">
        <f>BS!J16</f>
        <v>19691</v>
      </c>
      <c r="D43" s="128">
        <f>BS!K16</f>
        <v>20199</v>
      </c>
      <c r="E43" s="128">
        <f>BS!L16</f>
        <v>23375</v>
      </c>
      <c r="F43" s="129">
        <f ca="1">F97</f>
        <v>26676.62055940276</v>
      </c>
      <c r="G43" s="129">
        <f ca="1">G97</f>
        <v>32103.623636570908</v>
      </c>
      <c r="H43" s="129">
        <f ca="1">H97</f>
        <v>40346.757090046282</v>
      </c>
      <c r="I43" s="129">
        <f ca="1">I97</f>
        <v>52420.793075454319</v>
      </c>
      <c r="J43" s="129">
        <f ca="1">J97</f>
        <v>69822.64020053127</v>
      </c>
      <c r="K43" s="129">
        <f t="shared" ref="K43:O43" ca="1" si="33">K97</f>
        <v>94780.918022445039</v>
      </c>
      <c r="L43" s="129">
        <f t="shared" ca="1" si="33"/>
        <v>130656.83283620089</v>
      </c>
      <c r="M43" s="129">
        <f t="shared" ca="1" si="33"/>
        <v>182599.00907639749</v>
      </c>
      <c r="N43" s="129">
        <f t="shared" ca="1" si="33"/>
        <v>258629.96965227093</v>
      </c>
      <c r="O43" s="129">
        <f t="shared" ca="1" si="33"/>
        <v>369988.28459623287</v>
      </c>
    </row>
    <row r="44" spans="2:17" s="127" customFormat="1">
      <c r="B44" s="127" t="s">
        <v>269</v>
      </c>
      <c r="C44" s="128">
        <f>BS!J18+BS!J19</f>
        <v>350</v>
      </c>
      <c r="D44" s="128">
        <f>BS!K18+BS!K19</f>
        <v>537</v>
      </c>
      <c r="E44" s="128">
        <f>BS!L18+BS!L19</f>
        <v>520</v>
      </c>
      <c r="F44" s="129">
        <f ca="1">E44*(1+F6)</f>
        <v>649.48263688543022</v>
      </c>
      <c r="G44" s="129">
        <f ca="1">F44*(1+G6)</f>
        <v>891.4875788770695</v>
      </c>
      <c r="H44" s="129">
        <f ca="1">G44*(1+H6)</f>
        <v>1302.5520224777317</v>
      </c>
      <c r="I44" s="129">
        <f ca="1">H44*(1+I6)</f>
        <v>1879.2606866515357</v>
      </c>
      <c r="J44" s="129">
        <f ca="1">I44*(1+J6)</f>
        <v>2712.0861249170111</v>
      </c>
      <c r="K44" s="129">
        <f t="shared" ref="K44:O44" ca="1" si="34">J44*(1+K6)</f>
        <v>3939.7544319332592</v>
      </c>
      <c r="L44" s="129">
        <f t="shared" ca="1" si="34"/>
        <v>5785.2416593163161</v>
      </c>
      <c r="M44" s="129">
        <f t="shared" ca="1" si="34"/>
        <v>8595.2486984286534</v>
      </c>
      <c r="N44" s="129">
        <f t="shared" ca="1" si="34"/>
        <v>12975.834374882255</v>
      </c>
      <c r="O44" s="129">
        <f t="shared" ca="1" si="34"/>
        <v>19949.606186746867</v>
      </c>
    </row>
    <row r="45" spans="2:17" s="127" customFormat="1">
      <c r="B45" s="127" t="s">
        <v>215</v>
      </c>
      <c r="C45" s="128">
        <f>BS!J22</f>
        <v>958</v>
      </c>
      <c r="D45" s="128">
        <f>BS!K22</f>
        <v>1469</v>
      </c>
      <c r="E45" s="128">
        <f>BS!L22</f>
        <v>1462</v>
      </c>
      <c r="F45" s="129">
        <f ca="1">E45*(1+F6)</f>
        <v>1826.0454137048057</v>
      </c>
      <c r="G45" s="129">
        <f ca="1">F45*(1+G6)</f>
        <v>2506.4516159966838</v>
      </c>
      <c r="H45" s="129">
        <f ca="1">G45*(1+H6)</f>
        <v>3662.1751093508537</v>
      </c>
      <c r="I45" s="129">
        <f ca="1">H45*(1+I6)</f>
        <v>5283.6136997779722</v>
      </c>
      <c r="J45" s="129">
        <f ca="1">I45*(1+J6)</f>
        <v>7625.1344512089827</v>
      </c>
      <c r="K45" s="129">
        <f t="shared" ref="K45:O45" ca="1" si="35">J45*(1+K6)</f>
        <v>11076.771114396974</v>
      </c>
      <c r="L45" s="129">
        <f t="shared" ca="1" si="35"/>
        <v>16265.429434462416</v>
      </c>
      <c r="M45" s="129">
        <f t="shared" ca="1" si="35"/>
        <v>24165.872302120562</v>
      </c>
      <c r="N45" s="129">
        <f t="shared" ca="1" si="35"/>
        <v>36482.057415534342</v>
      </c>
      <c r="O45" s="129">
        <f t="shared" ca="1" si="35"/>
        <v>56089.085086584462</v>
      </c>
    </row>
    <row r="46" spans="2:17" s="127" customFormat="1">
      <c r="B46" s="130" t="s">
        <v>216</v>
      </c>
      <c r="C46" s="131">
        <f t="shared" ref="C46:J46" si="36">SUM(C39:C45)</f>
        <v>29740</v>
      </c>
      <c r="D46" s="131">
        <f t="shared" si="36"/>
        <v>34309</v>
      </c>
      <c r="E46" s="131">
        <f t="shared" si="36"/>
        <v>52148</v>
      </c>
      <c r="F46" s="131">
        <f t="shared" ca="1" si="36"/>
        <v>63463.901560230115</v>
      </c>
      <c r="G46" s="131">
        <f t="shared" ca="1" si="36"/>
        <v>81062.440872083665</v>
      </c>
      <c r="H46" s="131">
        <f t="shared" ca="1" si="36"/>
        <v>109217.96742010512</v>
      </c>
      <c r="I46" s="131">
        <f t="shared" ca="1" si="36"/>
        <v>150728.41710362097</v>
      </c>
      <c r="J46" s="131">
        <f t="shared" ca="1" si="36"/>
        <v>212372.98162135048</v>
      </c>
      <c r="K46" s="131">
        <f t="shared" ref="K46:O46" ca="1" si="37">SUM(K39:K45)</f>
        <v>303833.63125723979</v>
      </c>
      <c r="L46" s="131">
        <f t="shared" ca="1" si="37"/>
        <v>441485.29701288807</v>
      </c>
      <c r="M46" s="131">
        <f t="shared" ca="1" si="37"/>
        <v>651107.68395552167</v>
      </c>
      <c r="N46" s="131">
        <f t="shared" ca="1" si="37"/>
        <v>976434.0852001562</v>
      </c>
      <c r="O46" s="131">
        <f t="shared" ca="1" si="37"/>
        <v>1491516.6050054219</v>
      </c>
    </row>
    <row r="47" spans="2:17" s="127" customFormat="1">
      <c r="B47" s="132"/>
      <c r="C47" s="133"/>
      <c r="D47" s="133"/>
      <c r="E47" s="133"/>
      <c r="F47" s="133"/>
      <c r="G47" s="133"/>
      <c r="H47" s="133"/>
      <c r="I47" s="133"/>
      <c r="J47" s="133"/>
      <c r="K47" s="133"/>
      <c r="L47" s="133"/>
      <c r="M47" s="133"/>
      <c r="N47" s="133"/>
      <c r="O47" s="133"/>
    </row>
    <row r="48" spans="2:17" s="127" customFormat="1">
      <c r="B48" s="132" t="s">
        <v>217</v>
      </c>
      <c r="C48" s="128">
        <f>BS!J24</f>
        <v>3405</v>
      </c>
      <c r="D48" s="128">
        <f>BS!K24</f>
        <v>3771</v>
      </c>
      <c r="E48" s="128">
        <f>BS!L24</f>
        <v>6051</v>
      </c>
      <c r="F48" s="129">
        <f ca="1">E48*F17/E17</f>
        <v>7344.5083255272266</v>
      </c>
      <c r="G48" s="129">
        <f ca="1">F48*G17/F17</f>
        <v>10048.064649576239</v>
      </c>
      <c r="H48" s="129">
        <f ca="1">G48*H17/G17</f>
        <v>14299.063723288418</v>
      </c>
      <c r="I48" s="129">
        <f ca="1">H48*I17/H17</f>
        <v>20272.101827207869</v>
      </c>
      <c r="J48" s="129">
        <f ca="1">I48*J17/I17</f>
        <v>28853.591595946637</v>
      </c>
      <c r="K48" s="129">
        <f t="shared" ref="K48:O48" ca="1" si="38">J48*K17/J17</f>
        <v>41422.198021063115</v>
      </c>
      <c r="L48" s="129">
        <f t="shared" ca="1" si="38"/>
        <v>60179.083827371862</v>
      </c>
      <c r="M48" s="129">
        <f t="shared" ca="1" si="38"/>
        <v>88559.40101523645</v>
      </c>
      <c r="N48" s="129">
        <f t="shared" ca="1" si="38"/>
        <v>132421.47105540411</v>
      </c>
      <c r="O48" s="129">
        <f t="shared" ca="1" si="38"/>
        <v>201496.92998259945</v>
      </c>
    </row>
    <row r="49" spans="2:19" s="127" customFormat="1">
      <c r="B49" s="132" t="s">
        <v>218</v>
      </c>
      <c r="C49" s="128">
        <f>BS!J25+BS!J28+BS!J30</f>
        <v>3246</v>
      </c>
      <c r="D49" s="128">
        <f>BS!K25+BS!K28+BS!K30</f>
        <v>3720</v>
      </c>
      <c r="E49" s="128">
        <f>BS!L25+BS!L28+BS!L30</f>
        <v>4321</v>
      </c>
      <c r="F49" s="129">
        <f ca="1">E49*(1+F6)</f>
        <v>5396.9509115037381</v>
      </c>
      <c r="G49" s="129">
        <f ca="1">F49*(1+G6)</f>
        <v>7407.9189006304177</v>
      </c>
      <c r="H49" s="129">
        <f ca="1">G49*(1+H6)</f>
        <v>10823.706325242843</v>
      </c>
      <c r="I49" s="129">
        <f ca="1">H49*(1+I6)</f>
        <v>15615.933513502472</v>
      </c>
      <c r="J49" s="129">
        <f ca="1">I49*(1+J6)</f>
        <v>22536.392588012317</v>
      </c>
      <c r="K49" s="129">
        <f t="shared" ref="K49:O49" ca="1" si="39">J49*(1+K6)</f>
        <v>32737.844039199255</v>
      </c>
      <c r="L49" s="129">
        <f t="shared" ca="1" si="39"/>
        <v>48073.133095972698</v>
      </c>
      <c r="M49" s="129">
        <f t="shared" ca="1" si="39"/>
        <v>71423.210819058091</v>
      </c>
      <c r="N49" s="129">
        <f t="shared" ca="1" si="39"/>
        <v>107824.19294974273</v>
      </c>
      <c r="O49" s="129">
        <f t="shared" ca="1" si="39"/>
        <v>165773.55448641002</v>
      </c>
    </row>
    <row r="50" spans="2:19" s="127" customFormat="1">
      <c r="B50" s="132" t="s">
        <v>219</v>
      </c>
      <c r="C50" s="128">
        <f>BS!J29+BS!J34</f>
        <v>1621</v>
      </c>
      <c r="D50" s="128">
        <f>BS!K29+BS!K34</f>
        <v>2370</v>
      </c>
      <c r="E50" s="128">
        <f>BS!L29+BS!L34</f>
        <v>2742</v>
      </c>
      <c r="F50" s="129">
        <f ca="1">E50*(1+F6)</f>
        <v>3424.7719044997107</v>
      </c>
      <c r="G50" s="129">
        <f ca="1">F50*(1+G6)</f>
        <v>4700.8825793863934</v>
      </c>
      <c r="H50" s="129">
        <f ca="1">G50*(1+H6)</f>
        <v>6868.4570108345015</v>
      </c>
      <c r="I50" s="129">
        <f ca="1">H50*(1+I6)</f>
        <v>9909.4861592279067</v>
      </c>
      <c r="J50" s="129">
        <f ca="1">I50*(1+J6)</f>
        <v>14301.038758697012</v>
      </c>
      <c r="K50" s="129">
        <f t="shared" ref="K50:O50" ca="1" si="40">J50*(1+K6)</f>
        <v>20774.628177617305</v>
      </c>
      <c r="L50" s="129">
        <f t="shared" ca="1" si="40"/>
        <v>30506.024288164121</v>
      </c>
      <c r="M50" s="129">
        <f t="shared" ca="1" si="40"/>
        <v>45323.4075597911</v>
      </c>
      <c r="N50" s="129">
        <f t="shared" ca="1" si="40"/>
        <v>68422.572799859903</v>
      </c>
      <c r="O50" s="129">
        <f t="shared" ca="1" si="40"/>
        <v>105195.80800780754</v>
      </c>
    </row>
    <row r="51" spans="2:19" s="127" customFormat="1">
      <c r="B51" s="132" t="s">
        <v>234</v>
      </c>
      <c r="C51" s="134"/>
      <c r="D51" s="134"/>
      <c r="E51" s="134"/>
      <c r="F51" s="129">
        <f ca="1">F147</f>
        <v>0</v>
      </c>
      <c r="G51" s="129">
        <f ca="1">G147</f>
        <v>0</v>
      </c>
      <c r="H51" s="129">
        <f ca="1">H147</f>
        <v>0</v>
      </c>
      <c r="I51" s="129">
        <f ca="1">I147</f>
        <v>0</v>
      </c>
      <c r="J51" s="129">
        <f ca="1">J147</f>
        <v>0</v>
      </c>
      <c r="K51" s="129">
        <f t="shared" ref="K51:O51" ca="1" si="41">K147</f>
        <v>0</v>
      </c>
      <c r="L51" s="129">
        <f t="shared" ca="1" si="41"/>
        <v>0</v>
      </c>
      <c r="M51" s="129">
        <f t="shared" ca="1" si="41"/>
        <v>0</v>
      </c>
      <c r="N51" s="129">
        <f t="shared" ca="1" si="41"/>
        <v>0</v>
      </c>
      <c r="O51" s="129">
        <f t="shared" ca="1" si="41"/>
        <v>0</v>
      </c>
    </row>
    <row r="52" spans="2:19" s="127" customFormat="1">
      <c r="B52" s="132" t="s">
        <v>271</v>
      </c>
      <c r="C52" s="128">
        <f>BS!J32+BS!J26</f>
        <v>10745</v>
      </c>
      <c r="D52" s="128">
        <f>BS!K32+BS!K26</f>
        <v>11774</v>
      </c>
      <c r="E52" s="128">
        <f>BS!L32+BS!L26</f>
        <v>10329</v>
      </c>
      <c r="F52" s="129">
        <f t="shared" ref="F52:J53" si="42">E52</f>
        <v>10329</v>
      </c>
      <c r="G52" s="129">
        <f t="shared" si="42"/>
        <v>10329</v>
      </c>
      <c r="H52" s="129">
        <f t="shared" si="42"/>
        <v>10329</v>
      </c>
      <c r="I52" s="129">
        <f t="shared" si="42"/>
        <v>10329</v>
      </c>
      <c r="J52" s="129">
        <f t="shared" si="42"/>
        <v>10329</v>
      </c>
      <c r="K52" s="129">
        <f t="shared" ref="K52:O52" si="43">J52</f>
        <v>10329</v>
      </c>
      <c r="L52" s="129">
        <f t="shared" si="43"/>
        <v>10329</v>
      </c>
      <c r="M52" s="129">
        <f t="shared" si="43"/>
        <v>10329</v>
      </c>
      <c r="N52" s="129">
        <f t="shared" si="43"/>
        <v>10329</v>
      </c>
      <c r="O52" s="129">
        <f t="shared" si="43"/>
        <v>10329</v>
      </c>
    </row>
    <row r="53" spans="2:19" s="127" customFormat="1">
      <c r="B53" s="132" t="s">
        <v>272</v>
      </c>
      <c r="C53" s="128">
        <f>BS!J33+BS!J27</f>
        <v>3083</v>
      </c>
      <c r="D53" s="128">
        <f>BS!K33+BS!K27</f>
        <v>2802</v>
      </c>
      <c r="E53" s="128">
        <f>BS!L33+BS!L27</f>
        <v>3008</v>
      </c>
      <c r="F53" s="129">
        <f t="shared" si="42"/>
        <v>3008</v>
      </c>
      <c r="G53" s="129">
        <f t="shared" si="42"/>
        <v>3008</v>
      </c>
      <c r="H53" s="129">
        <f t="shared" si="42"/>
        <v>3008</v>
      </c>
      <c r="I53" s="129">
        <f t="shared" si="42"/>
        <v>3008</v>
      </c>
      <c r="J53" s="129">
        <f t="shared" si="42"/>
        <v>3008</v>
      </c>
      <c r="K53" s="129">
        <f t="shared" ref="K53:O53" si="44">J53</f>
        <v>3008</v>
      </c>
      <c r="L53" s="129">
        <f t="shared" si="44"/>
        <v>3008</v>
      </c>
      <c r="M53" s="129">
        <f t="shared" si="44"/>
        <v>3008</v>
      </c>
      <c r="N53" s="129">
        <f t="shared" si="44"/>
        <v>3008</v>
      </c>
      <c r="O53" s="129">
        <f t="shared" si="44"/>
        <v>3008</v>
      </c>
    </row>
    <row r="54" spans="2:19" s="127" customFormat="1" ht="15.75" customHeight="1">
      <c r="B54" s="132" t="s">
        <v>220</v>
      </c>
      <c r="C54" s="128">
        <f>BS!J36+BS!J35</f>
        <v>1327</v>
      </c>
      <c r="D54" s="128">
        <f>BS!K36+BS!K35</f>
        <v>1762</v>
      </c>
      <c r="E54" s="128">
        <f>BS!L36+BS!L35</f>
        <v>2018</v>
      </c>
      <c r="F54" s="129">
        <f ca="1">E54*(1+F6)</f>
        <v>2520.4922331438424</v>
      </c>
      <c r="G54" s="129">
        <f ca="1">F54*(1+G6)</f>
        <v>3459.6575657190888</v>
      </c>
      <c r="H54" s="129">
        <f ca="1">G54*(1+H6)</f>
        <v>5054.9038103078128</v>
      </c>
      <c r="I54" s="129">
        <f ca="1">H54*(1+I6)</f>
        <v>7292.9770493515371</v>
      </c>
      <c r="J54" s="129">
        <f ca="1">I54*(1+J6)</f>
        <v>10524.980384774095</v>
      </c>
      <c r="K54" s="129">
        <f t="shared" ref="K54:O54" ca="1" si="45">J54*(1+K6)</f>
        <v>15289.277776233304</v>
      </c>
      <c r="L54" s="129">
        <f t="shared" ca="1" si="45"/>
        <v>22451.187824039091</v>
      </c>
      <c r="M54" s="129">
        <f t="shared" ca="1" si="45"/>
        <v>33356.176679671196</v>
      </c>
      <c r="N54" s="129">
        <f t="shared" ca="1" si="45"/>
        <v>50356.218785600751</v>
      </c>
      <c r="O54" s="129">
        <f t="shared" ca="1" si="45"/>
        <v>77419.817855490735</v>
      </c>
    </row>
    <row r="55" spans="2:19">
      <c r="B55" s="68" t="s">
        <v>221</v>
      </c>
      <c r="C55" s="106">
        <f t="shared" ref="C55:J55" si="46">SUM(C48:C54)</f>
        <v>23427</v>
      </c>
      <c r="D55" s="106">
        <f t="shared" si="46"/>
        <v>26199</v>
      </c>
      <c r="E55" s="106">
        <f t="shared" si="46"/>
        <v>28469</v>
      </c>
      <c r="F55" s="106">
        <f t="shared" ca="1" si="46"/>
        <v>32023.723374674519</v>
      </c>
      <c r="G55" s="106">
        <f t="shared" ca="1" si="46"/>
        <v>38953.523695312142</v>
      </c>
      <c r="H55" s="106">
        <f t="shared" ca="1" si="46"/>
        <v>50383.130869673572</v>
      </c>
      <c r="I55" s="106">
        <f t="shared" ca="1" si="46"/>
        <v>66427.498549289783</v>
      </c>
      <c r="J55" s="106">
        <f t="shared" ca="1" si="46"/>
        <v>89553.003327430066</v>
      </c>
      <c r="K55" s="106">
        <f t="shared" ref="K55:O55" ca="1" si="47">SUM(K48:K54)</f>
        <v>123560.94801411298</v>
      </c>
      <c r="L55" s="106">
        <f t="shared" ca="1" si="47"/>
        <v>174546.42903554777</v>
      </c>
      <c r="M55" s="106">
        <f t="shared" ca="1" si="47"/>
        <v>251999.19607375682</v>
      </c>
      <c r="N55" s="106">
        <f t="shared" ca="1" si="47"/>
        <v>372361.45559060748</v>
      </c>
      <c r="O55" s="106">
        <f t="shared" ca="1" si="47"/>
        <v>563223.11033230776</v>
      </c>
      <c r="S55" s="127"/>
    </row>
    <row r="56" spans="2:19">
      <c r="B56" s="68"/>
      <c r="C56" s="106"/>
      <c r="D56" s="106"/>
      <c r="E56" s="106"/>
      <c r="F56" s="80"/>
      <c r="G56" s="80"/>
      <c r="H56" s="80"/>
      <c r="I56" s="80"/>
      <c r="J56" s="80"/>
      <c r="K56" s="80"/>
      <c r="L56" s="80"/>
      <c r="M56" s="80"/>
      <c r="N56" s="80"/>
      <c r="O56" s="80"/>
    </row>
    <row r="57" spans="2:19">
      <c r="B57" s="132" t="s">
        <v>270</v>
      </c>
      <c r="C57" s="107">
        <f>BS!J41+BS!J42</f>
        <v>10249</v>
      </c>
      <c r="D57" s="107">
        <f>BS!K41+BS!K42</f>
        <v>12737</v>
      </c>
      <c r="E57" s="107">
        <f>BS!L41+BS!L42</f>
        <v>27261</v>
      </c>
      <c r="F57" s="105">
        <f ca="1">E57+F83+F33</f>
        <v>32339.134792998724</v>
      </c>
      <c r="G57" s="105">
        <f t="shared" ref="G57:O57" ca="1" si="48">F57+G83+G33</f>
        <v>38224.262988715724</v>
      </c>
      <c r="H57" s="105">
        <f t="shared" ca="1" si="48"/>
        <v>45480.13300213185</v>
      </c>
      <c r="I57" s="105">
        <f t="shared" ca="1" si="48"/>
        <v>54659.10459954293</v>
      </c>
      <c r="J57" s="105">
        <f t="shared" ca="1" si="48"/>
        <v>66615.228716093116</v>
      </c>
      <c r="K57" s="105">
        <f t="shared" ca="1" si="48"/>
        <v>82665.15445642441</v>
      </c>
      <c r="L57" s="105">
        <f t="shared" ca="1" si="48"/>
        <v>104869.07029729843</v>
      </c>
      <c r="M57" s="105">
        <f t="shared" ca="1" si="48"/>
        <v>136443.27884167398</v>
      </c>
      <c r="N57" s="105">
        <f t="shared" ca="1" si="48"/>
        <v>182625.0557763775</v>
      </c>
      <c r="O57" s="105">
        <f t="shared" ca="1" si="48"/>
        <v>252061.67948372185</v>
      </c>
      <c r="Q57" s="468"/>
    </row>
    <row r="58" spans="2:19" ht="15.75" customHeight="1">
      <c r="B58" s="67" t="s">
        <v>222</v>
      </c>
      <c r="C58" s="107">
        <f>BS!J43</f>
        <v>-5318</v>
      </c>
      <c r="D58" s="107">
        <f>BS!K43</f>
        <v>-6083</v>
      </c>
      <c r="E58" s="107">
        <f>BS!L43</f>
        <v>-5399</v>
      </c>
      <c r="F58" s="105">
        <f ca="1">E58+F29</f>
        <v>-2889.7415081134318</v>
      </c>
      <c r="G58" s="105">
        <f ca="1">F58+G29</f>
        <v>1679.2385852545181</v>
      </c>
      <c r="H58" s="105">
        <f ca="1">G58+H29</f>
        <v>10879.93739348077</v>
      </c>
      <c r="I58" s="105">
        <f ca="1">H58+I29</f>
        <v>26825.545005569933</v>
      </c>
      <c r="J58" s="105">
        <f ca="1">I58+J29</f>
        <v>52952.058664764365</v>
      </c>
      <c r="K58" s="105">
        <f t="shared" ref="K58:O58" ca="1" si="49">J58+K29</f>
        <v>93793.412263822698</v>
      </c>
      <c r="L58" s="105">
        <f t="shared" ca="1" si="49"/>
        <v>157529.18996857019</v>
      </c>
      <c r="M58" s="105">
        <f t="shared" ca="1" si="49"/>
        <v>257179.63816981454</v>
      </c>
      <c r="N58" s="105">
        <f t="shared" ca="1" si="49"/>
        <v>414726.5795211303</v>
      </c>
      <c r="O58" s="105">
        <f t="shared" ca="1" si="49"/>
        <v>667886.85718248237</v>
      </c>
    </row>
    <row r="59" spans="2:19" ht="15.75" customHeight="1">
      <c r="B59" s="67" t="s">
        <v>223</v>
      </c>
      <c r="C59" s="107">
        <f>BS!J44</f>
        <v>-8</v>
      </c>
      <c r="D59" s="107">
        <f>BS!K44</f>
        <v>-36</v>
      </c>
      <c r="E59" s="107">
        <f>BS!L44</f>
        <v>363</v>
      </c>
      <c r="F59" s="105">
        <f t="shared" ref="F59:J59" si="50">E59</f>
        <v>363</v>
      </c>
      <c r="G59" s="105">
        <f t="shared" si="50"/>
        <v>363</v>
      </c>
      <c r="H59" s="105">
        <f t="shared" si="50"/>
        <v>363</v>
      </c>
      <c r="I59" s="105">
        <f t="shared" si="50"/>
        <v>363</v>
      </c>
      <c r="J59" s="105">
        <f t="shared" si="50"/>
        <v>363</v>
      </c>
      <c r="K59" s="105">
        <f t="shared" ref="K59:O59" si="51">J59</f>
        <v>363</v>
      </c>
      <c r="L59" s="105">
        <f t="shared" si="51"/>
        <v>363</v>
      </c>
      <c r="M59" s="105">
        <f t="shared" si="51"/>
        <v>363</v>
      </c>
      <c r="N59" s="105">
        <f t="shared" si="51"/>
        <v>363</v>
      </c>
      <c r="O59" s="105">
        <f t="shared" si="51"/>
        <v>363</v>
      </c>
      <c r="Q59" s="290"/>
    </row>
    <row r="60" spans="2:19" s="52" customFormat="1" ht="15.75" customHeight="1">
      <c r="B60" s="67" t="s">
        <v>166</v>
      </c>
      <c r="C60" s="107">
        <f>BS!J46</f>
        <v>1390</v>
      </c>
      <c r="D60" s="107">
        <f>BS!K46</f>
        <v>1492</v>
      </c>
      <c r="E60" s="107">
        <f>BS!L46</f>
        <v>1454</v>
      </c>
      <c r="F60" s="105">
        <f ca="1">E60-F28</f>
        <v>1627.7849006702925</v>
      </c>
      <c r="G60" s="105">
        <f t="shared" ref="G60:O60" ca="1" si="52">F60-G28</f>
        <v>1842.4156028012808</v>
      </c>
      <c r="H60" s="105">
        <f t="shared" ca="1" si="52"/>
        <v>2111.7661548189426</v>
      </c>
      <c r="I60" s="105">
        <f t="shared" ca="1" si="52"/>
        <v>2453.2689492183104</v>
      </c>
      <c r="J60" s="105">
        <f t="shared" ca="1" si="52"/>
        <v>2889.6909130629251</v>
      </c>
      <c r="K60" s="105">
        <f t="shared" ca="1" si="52"/>
        <v>3451.1165228796344</v>
      </c>
      <c r="L60" s="105">
        <f t="shared" ca="1" si="52"/>
        <v>4177.6077114716982</v>
      </c>
      <c r="M60" s="105">
        <f t="shared" ca="1" si="52"/>
        <v>5122.5708702763031</v>
      </c>
      <c r="N60" s="105">
        <f t="shared" ca="1" si="52"/>
        <v>6357.9943120407561</v>
      </c>
      <c r="O60" s="105">
        <f t="shared" ca="1" si="52"/>
        <v>7981.9580069098593</v>
      </c>
    </row>
    <row r="61" spans="2:19">
      <c r="B61" s="68" t="s">
        <v>224</v>
      </c>
      <c r="C61" s="106">
        <f t="shared" ref="C61:J61" si="53">SUM(C57:C60)</f>
        <v>6313</v>
      </c>
      <c r="D61" s="106">
        <f t="shared" si="53"/>
        <v>8110</v>
      </c>
      <c r="E61" s="106">
        <f t="shared" si="53"/>
        <v>23679</v>
      </c>
      <c r="F61" s="106">
        <f t="shared" ca="1" si="53"/>
        <v>31440.178185555586</v>
      </c>
      <c r="G61" s="106">
        <f t="shared" ca="1" si="53"/>
        <v>42108.917176771523</v>
      </c>
      <c r="H61" s="106">
        <f t="shared" ca="1" si="53"/>
        <v>58834.836550431566</v>
      </c>
      <c r="I61" s="106">
        <f t="shared" ca="1" si="53"/>
        <v>84300.918554331176</v>
      </c>
      <c r="J61" s="106">
        <f t="shared" ca="1" si="53"/>
        <v>122819.9782939204</v>
      </c>
      <c r="K61" s="106">
        <f t="shared" ref="K61:O61" ca="1" si="54">SUM(K57:K60)</f>
        <v>180272.68324312672</v>
      </c>
      <c r="L61" s="106">
        <f t="shared" ca="1" si="54"/>
        <v>266938.8679773403</v>
      </c>
      <c r="M61" s="106">
        <f t="shared" ca="1" si="54"/>
        <v>399108.48788176483</v>
      </c>
      <c r="N61" s="106">
        <f t="shared" ca="1" si="54"/>
        <v>604072.62960954849</v>
      </c>
      <c r="O61" s="106">
        <f t="shared" ca="1" si="54"/>
        <v>928293.49467311404</v>
      </c>
    </row>
    <row r="62" spans="2:19">
      <c r="C62" s="80"/>
      <c r="D62"/>
      <c r="E62"/>
      <c r="F62" s="80"/>
      <c r="G62" s="80"/>
      <c r="H62" s="80"/>
      <c r="I62" s="80"/>
      <c r="J62" s="80"/>
      <c r="K62" s="80"/>
      <c r="L62" s="80"/>
      <c r="M62" s="80"/>
      <c r="N62" s="80"/>
      <c r="O62" s="80"/>
    </row>
    <row r="63" spans="2:19">
      <c r="B63" s="59" t="s">
        <v>225</v>
      </c>
      <c r="C63" s="116">
        <f t="shared" ref="C63:J63" si="55">ROUND(C46-C55-C61,3)</f>
        <v>0</v>
      </c>
      <c r="D63" s="116">
        <f t="shared" si="55"/>
        <v>0</v>
      </c>
      <c r="E63" s="116">
        <f t="shared" si="55"/>
        <v>0</v>
      </c>
      <c r="F63" s="116">
        <f t="shared" ca="1" si="55"/>
        <v>0</v>
      </c>
      <c r="G63" s="116">
        <f t="shared" ca="1" si="55"/>
        <v>0</v>
      </c>
      <c r="H63" s="116">
        <f t="shared" ca="1" si="55"/>
        <v>0</v>
      </c>
      <c r="I63" s="116">
        <f t="shared" ca="1" si="55"/>
        <v>0</v>
      </c>
      <c r="J63" s="116">
        <f t="shared" ca="1" si="55"/>
        <v>0</v>
      </c>
      <c r="K63" s="116">
        <f t="shared" ref="K63:O63" ca="1" si="56">ROUND(K46-K55-K61,3)</f>
        <v>0</v>
      </c>
      <c r="L63" s="116">
        <f t="shared" ca="1" si="56"/>
        <v>0</v>
      </c>
      <c r="M63" s="116">
        <f t="shared" ca="1" si="56"/>
        <v>0</v>
      </c>
      <c r="N63" s="116">
        <f t="shared" ca="1" si="56"/>
        <v>0</v>
      </c>
      <c r="O63" s="116">
        <f t="shared" ca="1" si="56"/>
        <v>0</v>
      </c>
    </row>
    <row r="64" spans="2:19">
      <c r="C64" s="65"/>
      <c r="D64" s="65"/>
      <c r="E64" s="65"/>
      <c r="G64" s="65"/>
      <c r="H64" s="65"/>
      <c r="I64" s="65"/>
      <c r="J64" s="65"/>
      <c r="K64" s="65"/>
      <c r="L64" s="65"/>
      <c r="M64" s="65"/>
      <c r="N64" s="65"/>
      <c r="O64" s="65"/>
    </row>
    <row r="65" spans="2:17">
      <c r="B65" s="56" t="s">
        <v>226</v>
      </c>
      <c r="C65" s="71"/>
      <c r="D65" s="71"/>
      <c r="E65" s="71"/>
      <c r="F65" s="71"/>
      <c r="G65" s="71"/>
      <c r="H65" s="71"/>
      <c r="I65" s="71"/>
      <c r="J65" s="71"/>
      <c r="K65" s="71"/>
      <c r="L65" s="71"/>
      <c r="M65" s="71"/>
      <c r="N65" s="71"/>
      <c r="O65" s="71"/>
    </row>
    <row r="66" spans="2:17">
      <c r="B66" s="72" t="str">
        <f>B13</f>
        <v xml:space="preserve">Fiscal year  </v>
      </c>
      <c r="C66" s="73"/>
      <c r="D66" s="73"/>
      <c r="E66" s="73"/>
      <c r="F66" s="111">
        <f t="shared" ref="F66:J67" si="57">F13</f>
        <v>2021</v>
      </c>
      <c r="G66" s="111">
        <f t="shared" si="57"/>
        <v>2022</v>
      </c>
      <c r="H66" s="111">
        <f t="shared" si="57"/>
        <v>2023</v>
      </c>
      <c r="I66" s="111">
        <f t="shared" si="57"/>
        <v>2024</v>
      </c>
      <c r="J66" s="111">
        <f t="shared" si="57"/>
        <v>2025</v>
      </c>
      <c r="K66" s="111">
        <f t="shared" ref="K66:O66" si="58">K13</f>
        <v>2026</v>
      </c>
      <c r="L66" s="111">
        <f t="shared" si="58"/>
        <v>2027</v>
      </c>
      <c r="M66" s="111">
        <f t="shared" si="58"/>
        <v>2028</v>
      </c>
      <c r="N66" s="111">
        <f t="shared" si="58"/>
        <v>2029</v>
      </c>
      <c r="O66" s="111">
        <f t="shared" si="58"/>
        <v>2030</v>
      </c>
    </row>
    <row r="67" spans="2:17">
      <c r="B67" s="57" t="str">
        <f>B14</f>
        <v>Fiscal year end date</v>
      </c>
      <c r="C67" s="74"/>
      <c r="D67" s="74"/>
      <c r="E67" s="74"/>
      <c r="F67" s="74">
        <f t="shared" si="57"/>
        <v>44561</v>
      </c>
      <c r="G67" s="74">
        <f t="shared" si="57"/>
        <v>44926</v>
      </c>
      <c r="H67" s="74">
        <f t="shared" si="57"/>
        <v>45291</v>
      </c>
      <c r="I67" s="74">
        <f t="shared" si="57"/>
        <v>45657</v>
      </c>
      <c r="J67" s="74">
        <f t="shared" si="57"/>
        <v>46022</v>
      </c>
      <c r="K67" s="74">
        <f t="shared" ref="K67:O67" si="59">K14</f>
        <v>46387</v>
      </c>
      <c r="L67" s="74">
        <f t="shared" si="59"/>
        <v>46752</v>
      </c>
      <c r="M67" s="74">
        <f t="shared" si="59"/>
        <v>47118</v>
      </c>
      <c r="N67" s="74">
        <f t="shared" si="59"/>
        <v>47483</v>
      </c>
      <c r="O67" s="74">
        <f t="shared" si="59"/>
        <v>47848</v>
      </c>
    </row>
    <row r="69" spans="2:17">
      <c r="B69" s="51" t="s">
        <v>406</v>
      </c>
      <c r="C69" s="16"/>
      <c r="D69" s="16"/>
      <c r="E69" s="16"/>
      <c r="F69" s="105">
        <f ca="1">F29-F28</f>
        <v>2683.0433925568605</v>
      </c>
      <c r="G69" s="105">
        <f t="shared" ref="G69:O69" ca="1" si="60">G29-G28</f>
        <v>4783.6107954989384</v>
      </c>
      <c r="H69" s="105">
        <f t="shared" ca="1" si="60"/>
        <v>9470.0493602439146</v>
      </c>
      <c r="I69" s="105">
        <f t="shared" ca="1" si="60"/>
        <v>16287.110406488529</v>
      </c>
      <c r="J69" s="105">
        <f t="shared" ca="1" si="60"/>
        <v>26562.935623039048</v>
      </c>
      <c r="K69" s="105">
        <f t="shared" ca="1" si="60"/>
        <v>41402.779208875043</v>
      </c>
      <c r="L69" s="105">
        <f t="shared" ca="1" si="60"/>
        <v>64462.268893339548</v>
      </c>
      <c r="M69" s="105">
        <f t="shared" ca="1" si="60"/>
        <v>100595.41136004897</v>
      </c>
      <c r="N69" s="105">
        <f t="shared" ca="1" si="60"/>
        <v>158782.36479308023</v>
      </c>
      <c r="O69" s="105">
        <f t="shared" ca="1" si="60"/>
        <v>254784.24135622114</v>
      </c>
      <c r="Q69" s="55"/>
    </row>
    <row r="70" spans="2:17">
      <c r="B70" s="51" t="s">
        <v>227</v>
      </c>
      <c r="C70" s="16"/>
      <c r="D70" s="16"/>
      <c r="E70" s="16"/>
      <c r="F70" s="105">
        <f ca="1">F31</f>
        <v>3483.203174551456</v>
      </c>
      <c r="G70" s="105">
        <f ca="1">G31</f>
        <v>3928.2132204885747</v>
      </c>
      <c r="H70" s="105">
        <f ca="1">H31</f>
        <v>4797.9055477436395</v>
      </c>
      <c r="I70" s="105">
        <f ca="1">I31</f>
        <v>6151.3566312739858</v>
      </c>
      <c r="J70" s="105">
        <f ca="1">J31</f>
        <v>8198.7923487250864</v>
      </c>
      <c r="K70" s="105">
        <f t="shared" ref="K70:O70" ca="1" si="61">K31</f>
        <v>11258.108729086029</v>
      </c>
      <c r="L70" s="105">
        <f t="shared" ca="1" si="61"/>
        <v>15824.911895160776</v>
      </c>
      <c r="M70" s="105">
        <f t="shared" ca="1" si="61"/>
        <v>22661.640948706445</v>
      </c>
      <c r="N70" s="105">
        <f t="shared" ca="1" si="61"/>
        <v>33034.639104291578</v>
      </c>
      <c r="O70" s="105">
        <f t="shared" ca="1" si="61"/>
        <v>48972.867291122631</v>
      </c>
    </row>
    <row r="71" spans="2:17">
      <c r="B71" s="51" t="s">
        <v>206</v>
      </c>
      <c r="C71" s="16"/>
      <c r="D71" s="16"/>
      <c r="E71" s="16"/>
      <c r="F71" s="105">
        <f ca="1">F33</f>
        <v>2165.7747929987231</v>
      </c>
      <c r="G71" s="105">
        <f ca="1">G33</f>
        <v>2972.7681957169971</v>
      </c>
      <c r="H71" s="105">
        <f ca="1">H33</f>
        <v>4343.5100134161285</v>
      </c>
      <c r="I71" s="105">
        <f ca="1">I33</f>
        <v>6266.6115974110826</v>
      </c>
      <c r="J71" s="105">
        <f ca="1">J33</f>
        <v>9043.7641165501882</v>
      </c>
      <c r="K71" s="105">
        <f t="shared" ref="K71:O71" ca="1" si="62">K33</f>
        <v>13137.565740331293</v>
      </c>
      <c r="L71" s="105">
        <f t="shared" ca="1" si="62"/>
        <v>19291.555840874025</v>
      </c>
      <c r="M71" s="105">
        <f t="shared" ca="1" si="62"/>
        <v>28661.848544375549</v>
      </c>
      <c r="N71" s="105">
        <f t="shared" ca="1" si="62"/>
        <v>43269.41693470352</v>
      </c>
      <c r="O71" s="105">
        <f t="shared" ca="1" si="62"/>
        <v>66524.263707344362</v>
      </c>
    </row>
    <row r="72" spans="2:17">
      <c r="B72" s="51" t="s">
        <v>228</v>
      </c>
      <c r="C72" s="65"/>
      <c r="D72" s="65"/>
      <c r="E72" s="65"/>
      <c r="F72" s="105">
        <f ca="1">-1*(SUM(F40:F42)-SUM(E40:E42))</f>
        <v>-1640.6088769079834</v>
      </c>
      <c r="G72" s="105">
        <f ca="1">-1*(SUM(G40:G42)-SUM(F40:F42))</f>
        <v>-3260.1353030035243</v>
      </c>
      <c r="H72" s="105">
        <f ca="1">-1*(SUM(H40:H42)-SUM(G40:G42))</f>
        <v>-5306.348999477199</v>
      </c>
      <c r="I72" s="105">
        <f ca="1">-1*(SUM(I40:I42)-SUM(H40:H42))</f>
        <v>-7450.7432842466078</v>
      </c>
      <c r="J72" s="105">
        <f ca="1">-1*(SUM(J40:J42)-SUM(I40:I42))</f>
        <v>-10729.682239393427</v>
      </c>
      <c r="K72" s="105">
        <f t="shared" ref="K72:O72" ca="1" si="63">-1*(SUM(K40:K42)-SUM(J40:J42))</f>
        <v>-15761.480484442087</v>
      </c>
      <c r="L72" s="105">
        <f t="shared" ca="1" si="63"/>
        <v>-23600.651734878855</v>
      </c>
      <c r="M72" s="105">
        <f t="shared" ca="1" si="63"/>
        <v>-35813.495470183159</v>
      </c>
      <c r="N72" s="105">
        <f t="shared" ca="1" si="63"/>
        <v>-55572.500481115494</v>
      </c>
      <c r="O72" s="105">
        <f t="shared" ca="1" si="63"/>
        <v>-87960.401113638334</v>
      </c>
    </row>
    <row r="73" spans="2:17">
      <c r="B73" s="51" t="s">
        <v>229</v>
      </c>
      <c r="C73" s="65"/>
      <c r="D73" s="65"/>
      <c r="E73" s="65"/>
      <c r="F73" s="105">
        <f ca="1">SUM(F48:F50)-SUM(E48:E50)</f>
        <v>3052.2311415306758</v>
      </c>
      <c r="G73" s="105">
        <f ca="1">SUM(G48:G50)-SUM(F48:F50)</f>
        <v>5990.6349880623748</v>
      </c>
      <c r="H73" s="105">
        <f ca="1">SUM(H48:H50)-SUM(G48:G50)</f>
        <v>9834.3609297727089</v>
      </c>
      <c r="I73" s="105">
        <f ca="1">SUM(I48:I50)-SUM(H48:H50)</f>
        <v>13806.294440572485</v>
      </c>
      <c r="J73" s="105">
        <f ca="1">SUM(J48:J50)-SUM(I48:I50)</f>
        <v>19893.501442717723</v>
      </c>
      <c r="K73" s="105">
        <f t="shared" ref="K73:O73" ca="1" si="64">SUM(K48:K50)-SUM(J48:J50)</f>
        <v>29243.647295223709</v>
      </c>
      <c r="L73" s="105">
        <f t="shared" ca="1" si="64"/>
        <v>43823.570973629015</v>
      </c>
      <c r="M73" s="105">
        <f t="shared" ca="1" si="64"/>
        <v>66547.778182576934</v>
      </c>
      <c r="N73" s="105">
        <f t="shared" ca="1" si="64"/>
        <v>103362.21741092112</v>
      </c>
      <c r="O73" s="105">
        <f t="shared" ca="1" si="64"/>
        <v>163798.05567181023</v>
      </c>
    </row>
    <row r="74" spans="2:17">
      <c r="B74" s="52" t="s">
        <v>274</v>
      </c>
      <c r="F74" s="105">
        <f ca="1">-(F130)</f>
        <v>-1326.6144329028939</v>
      </c>
      <c r="G74" s="105">
        <f ca="1">-(G130)</f>
        <v>-2065.9154041123743</v>
      </c>
      <c r="H74" s="105">
        <f ca="1">-(H130)</f>
        <v>-3237.5613965560774</v>
      </c>
      <c r="I74" s="105">
        <f ca="1">-(I130)</f>
        <v>-4608.6604815174123</v>
      </c>
      <c r="J74" s="105">
        <f ca="1">-(J130)</f>
        <v>-6653.1181999265755</v>
      </c>
      <c r="K74" s="105">
        <f t="shared" ref="K74:O74" ca="1" si="65">-(K130)</f>
        <v>-9732.7976742417086</v>
      </c>
      <c r="L74" s="105">
        <f t="shared" ca="1" si="65"/>
        <v>-14454.830521994621</v>
      </c>
      <c r="M74" s="105">
        <f t="shared" ca="1" si="65"/>
        <v>-21735.509294947242</v>
      </c>
      <c r="N74" s="105">
        <f t="shared" ca="1" si="65"/>
        <v>-33340.77372841828</v>
      </c>
      <c r="O74" s="105">
        <f t="shared" ca="1" si="65"/>
        <v>-52170.005880145807</v>
      </c>
    </row>
    <row r="75" spans="2:17">
      <c r="B75" s="52" t="s">
        <v>275</v>
      </c>
      <c r="F75" s="105">
        <f ca="1">F54-E54</f>
        <v>502.49223314384244</v>
      </c>
      <c r="G75" s="105">
        <f ca="1">G54-F54</f>
        <v>939.16533257524634</v>
      </c>
      <c r="H75" s="105">
        <f ca="1">H54-G54</f>
        <v>1595.246244588724</v>
      </c>
      <c r="I75" s="105">
        <f ca="1">I54-H54</f>
        <v>2238.0732390437242</v>
      </c>
      <c r="J75" s="105">
        <f ca="1">J54-I54</f>
        <v>3232.0033354225579</v>
      </c>
      <c r="K75" s="105">
        <f t="shared" ref="K75:O75" ca="1" si="66">K54-J54</f>
        <v>4764.2973914592094</v>
      </c>
      <c r="L75" s="105">
        <f t="shared" ca="1" si="66"/>
        <v>7161.9100478057862</v>
      </c>
      <c r="M75" s="105">
        <f t="shared" ca="1" si="66"/>
        <v>10904.988855632106</v>
      </c>
      <c r="N75" s="105">
        <f t="shared" ca="1" si="66"/>
        <v>17000.042105929555</v>
      </c>
      <c r="O75" s="105">
        <f t="shared" ca="1" si="66"/>
        <v>27063.599069889984</v>
      </c>
      <c r="Q75" s="55"/>
    </row>
    <row r="76" spans="2:17">
      <c r="B76" s="55" t="s">
        <v>230</v>
      </c>
      <c r="F76" s="106">
        <f ca="1">SUM(F69:F74,F75)</f>
        <v>8919.5214249706805</v>
      </c>
      <c r="G76" s="106">
        <f ca="1">SUM(G69:G74,G75)</f>
        <v>13288.341825226233</v>
      </c>
      <c r="H76" s="106">
        <f ca="1">SUM(H69:H74,H75)</f>
        <v>21497.161699731842</v>
      </c>
      <c r="I76" s="106">
        <f ca="1">SUM(I69:I74,I75)</f>
        <v>32690.042549025791</v>
      </c>
      <c r="J76" s="106">
        <f ca="1">SUM(J69:J74,J75)</f>
        <v>49548.196427134601</v>
      </c>
      <c r="K76" s="106">
        <f t="shared" ref="K76:O76" ca="1" si="67">SUM(K69:K74,K75)</f>
        <v>74312.120206291496</v>
      </c>
      <c r="L76" s="106">
        <f t="shared" ca="1" si="67"/>
        <v>112508.73539393567</v>
      </c>
      <c r="M76" s="106">
        <f t="shared" ca="1" si="67"/>
        <v>171822.66312620963</v>
      </c>
      <c r="N76" s="106">
        <f t="shared" ca="1" si="67"/>
        <v>266535.40613939229</v>
      </c>
      <c r="O76" s="106">
        <f t="shared" ca="1" si="67"/>
        <v>421012.62010260421</v>
      </c>
    </row>
    <row r="77" spans="2:17">
      <c r="F77" s="80"/>
      <c r="G77" s="80"/>
      <c r="H77" s="80"/>
      <c r="I77" s="80"/>
      <c r="J77" s="80"/>
      <c r="K77" s="80"/>
      <c r="L77" s="80"/>
      <c r="M77" s="80"/>
      <c r="N77" s="80"/>
      <c r="O77" s="80"/>
    </row>
    <row r="78" spans="2:17">
      <c r="B78" s="51" t="s">
        <v>231</v>
      </c>
      <c r="F78" s="105">
        <f ca="1">-(F95)</f>
        <v>-5951.7373516415582</v>
      </c>
      <c r="G78" s="105">
        <f ca="1">-(G95)</f>
        <v>-8211.7120378278669</v>
      </c>
      <c r="H78" s="105">
        <f ca="1">-(H95)</f>
        <v>-11370.265541617769</v>
      </c>
      <c r="I78" s="105">
        <f ca="1">-(I95)</f>
        <v>-15814.879389765534</v>
      </c>
      <c r="J78" s="105">
        <f ca="1">-(J95)</f>
        <v>-22121.867463571954</v>
      </c>
      <c r="K78" s="105">
        <f t="shared" ref="K78:O78" ca="1" si="68">-(K95)</f>
        <v>-31162.893846962324</v>
      </c>
      <c r="L78" s="105">
        <f t="shared" ca="1" si="68"/>
        <v>-44280.141734370496</v>
      </c>
      <c r="M78" s="105">
        <f t="shared" ca="1" si="68"/>
        <v>-63578.757800726278</v>
      </c>
      <c r="N78" s="105">
        <f t="shared" ca="1" si="68"/>
        <v>-92421.596741614121</v>
      </c>
      <c r="O78" s="105">
        <f t="shared" ca="1" si="68"/>
        <v>-134741.9758378535</v>
      </c>
    </row>
    <row r="79" spans="2:17">
      <c r="B79" s="55" t="s">
        <v>232</v>
      </c>
      <c r="F79" s="106">
        <f ca="1">IFERROR(F78,"NA")</f>
        <v>-5951.7373516415582</v>
      </c>
      <c r="G79" s="106">
        <f ca="1">IFERROR(G78,"NA")</f>
        <v>-8211.7120378278669</v>
      </c>
      <c r="H79" s="106">
        <f ca="1">IFERROR(H78,"NA")</f>
        <v>-11370.265541617769</v>
      </c>
      <c r="I79" s="106">
        <f ca="1">IFERROR(I78,"NA")</f>
        <v>-15814.879389765534</v>
      </c>
      <c r="J79" s="106">
        <f ca="1">IFERROR(J78,"NA")</f>
        <v>-22121.867463571954</v>
      </c>
      <c r="K79" s="106">
        <f t="shared" ref="K79:O79" ca="1" si="69">IFERROR(K78,"NA")</f>
        <v>-31162.893846962324</v>
      </c>
      <c r="L79" s="106">
        <f t="shared" ca="1" si="69"/>
        <v>-44280.141734370496</v>
      </c>
      <c r="M79" s="106">
        <f t="shared" ca="1" si="69"/>
        <v>-63578.757800726278</v>
      </c>
      <c r="N79" s="106">
        <f t="shared" ca="1" si="69"/>
        <v>-92421.596741614121</v>
      </c>
      <c r="O79" s="106">
        <f t="shared" ca="1" si="69"/>
        <v>-134741.9758378535</v>
      </c>
    </row>
    <row r="80" spans="2:17">
      <c r="F80" s="80"/>
      <c r="G80" s="80"/>
      <c r="H80" s="80"/>
      <c r="I80" s="80"/>
      <c r="J80" s="80"/>
      <c r="K80" s="80"/>
      <c r="L80" s="80"/>
      <c r="M80" s="80"/>
      <c r="N80" s="80"/>
      <c r="O80" s="80"/>
    </row>
    <row r="81" spans="2:17">
      <c r="B81" s="51" t="s">
        <v>233</v>
      </c>
      <c r="F81" s="105">
        <f t="shared" ref="F81:J82" si="70">F52-E52</f>
        <v>0</v>
      </c>
      <c r="G81" s="105">
        <f t="shared" si="70"/>
        <v>0</v>
      </c>
      <c r="H81" s="105">
        <f t="shared" si="70"/>
        <v>0</v>
      </c>
      <c r="I81" s="105">
        <f t="shared" si="70"/>
        <v>0</v>
      </c>
      <c r="J81" s="105">
        <f t="shared" si="70"/>
        <v>0</v>
      </c>
      <c r="K81" s="105">
        <f t="shared" ref="K81:O81" si="71">K52-J52</f>
        <v>0</v>
      </c>
      <c r="L81" s="105">
        <f t="shared" si="71"/>
        <v>0</v>
      </c>
      <c r="M81" s="105">
        <f t="shared" si="71"/>
        <v>0</v>
      </c>
      <c r="N81" s="105">
        <f t="shared" si="71"/>
        <v>0</v>
      </c>
      <c r="O81" s="105">
        <f t="shared" si="71"/>
        <v>0</v>
      </c>
    </row>
    <row r="82" spans="2:17" s="52" customFormat="1">
      <c r="B82" s="52" t="s">
        <v>67</v>
      </c>
      <c r="F82" s="105">
        <f t="shared" si="70"/>
        <v>0</v>
      </c>
      <c r="G82" s="105">
        <f t="shared" si="70"/>
        <v>0</v>
      </c>
      <c r="H82" s="105">
        <f t="shared" si="70"/>
        <v>0</v>
      </c>
      <c r="I82" s="105">
        <f t="shared" si="70"/>
        <v>0</v>
      </c>
      <c r="J82" s="105">
        <f t="shared" si="70"/>
        <v>0</v>
      </c>
      <c r="K82" s="105">
        <f t="shared" ref="K82:O82" si="72">K53-J53</f>
        <v>0</v>
      </c>
      <c r="L82" s="105">
        <f t="shared" si="72"/>
        <v>0</v>
      </c>
      <c r="M82" s="105">
        <f t="shared" si="72"/>
        <v>0</v>
      </c>
      <c r="N82" s="105">
        <f t="shared" si="72"/>
        <v>0</v>
      </c>
      <c r="O82" s="105">
        <f t="shared" si="72"/>
        <v>0</v>
      </c>
    </row>
    <row r="83" spans="2:17" s="52" customFormat="1" ht="15" customHeight="1">
      <c r="B83" s="52" t="s">
        <v>283</v>
      </c>
      <c r="E83" s="13"/>
      <c r="F83" s="115">
        <f>AVERAGE(CFS!$G$30:$L$30)</f>
        <v>2912.36</v>
      </c>
      <c r="G83" s="115">
        <f>AVERAGE(CFS!$G$30:$L$30)</f>
        <v>2912.36</v>
      </c>
      <c r="H83" s="115">
        <f>AVERAGE(CFS!$G$30:$L$30)</f>
        <v>2912.36</v>
      </c>
      <c r="I83" s="115">
        <f>AVERAGE(CFS!$G$30:$L$30)</f>
        <v>2912.36</v>
      </c>
      <c r="J83" s="115">
        <f>AVERAGE(CFS!$G$30:$L$30)</f>
        <v>2912.36</v>
      </c>
      <c r="K83" s="115">
        <f>AVERAGE(CFS!$G$30:$L$30)</f>
        <v>2912.36</v>
      </c>
      <c r="L83" s="115">
        <f>AVERAGE(CFS!$G$30:$L$30)</f>
        <v>2912.36</v>
      </c>
      <c r="M83" s="115">
        <f>AVERAGE(CFS!$G$30:$L$30)</f>
        <v>2912.36</v>
      </c>
      <c r="N83" s="115">
        <f>AVERAGE(CFS!$G$30:$L$30)</f>
        <v>2912.36</v>
      </c>
      <c r="O83" s="115">
        <f>AVERAGE(CFS!$G$30:$L$30)</f>
        <v>2912.36</v>
      </c>
      <c r="P83" s="137"/>
      <c r="Q83" s="13"/>
    </row>
    <row r="84" spans="2:17">
      <c r="B84" s="51" t="s">
        <v>234</v>
      </c>
      <c r="F84" s="135">
        <f ca="1">F51-E51</f>
        <v>0</v>
      </c>
      <c r="G84" s="105">
        <f ca="1">G51-F51</f>
        <v>0</v>
      </c>
      <c r="H84" s="105">
        <f ca="1">H51-G51</f>
        <v>0</v>
      </c>
      <c r="I84" s="105">
        <f ca="1">I51-H51</f>
        <v>0</v>
      </c>
      <c r="J84" s="105">
        <f ca="1">J51-I51</f>
        <v>0</v>
      </c>
      <c r="K84" s="105">
        <f t="shared" ref="K84:O84" ca="1" si="73">K51-J51</f>
        <v>0</v>
      </c>
      <c r="L84" s="105">
        <f t="shared" ca="1" si="73"/>
        <v>0</v>
      </c>
      <c r="M84" s="105">
        <f t="shared" ca="1" si="73"/>
        <v>0</v>
      </c>
      <c r="N84" s="105">
        <f t="shared" ca="1" si="73"/>
        <v>0</v>
      </c>
      <c r="O84" s="105">
        <f t="shared" ca="1" si="73"/>
        <v>0</v>
      </c>
    </row>
    <row r="85" spans="2:17">
      <c r="B85" s="55" t="s">
        <v>235</v>
      </c>
      <c r="F85" s="106">
        <f ca="1">SUM(F81:F84)</f>
        <v>2912.36</v>
      </c>
      <c r="G85" s="106">
        <f ca="1">SUM(G81:G84)</f>
        <v>2912.36</v>
      </c>
      <c r="H85" s="106">
        <f ca="1">SUM(H81:H84)</f>
        <v>2912.36</v>
      </c>
      <c r="I85" s="106">
        <f ca="1">SUM(I81:I84)</f>
        <v>2912.36</v>
      </c>
      <c r="J85" s="106">
        <f ca="1">SUM(J81:J84)</f>
        <v>2912.36</v>
      </c>
      <c r="K85" s="106">
        <f t="shared" ref="K85:O85" ca="1" si="74">SUM(K81:K84)</f>
        <v>2912.36</v>
      </c>
      <c r="L85" s="106">
        <f t="shared" ca="1" si="74"/>
        <v>2912.36</v>
      </c>
      <c r="M85" s="106">
        <f t="shared" ca="1" si="74"/>
        <v>2912.36</v>
      </c>
      <c r="N85" s="106">
        <f t="shared" ca="1" si="74"/>
        <v>2912.36</v>
      </c>
      <c r="O85" s="106">
        <f t="shared" ca="1" si="74"/>
        <v>2912.36</v>
      </c>
    </row>
    <row r="86" spans="2:17">
      <c r="F86" s="80"/>
      <c r="G86" s="80"/>
      <c r="H86" s="80"/>
      <c r="I86" s="80"/>
      <c r="J86" s="80"/>
      <c r="K86" s="80"/>
      <c r="L86" s="80"/>
      <c r="M86" s="80"/>
      <c r="N86" s="80"/>
      <c r="O86" s="80"/>
    </row>
    <row r="87" spans="2:17">
      <c r="B87" s="55" t="s">
        <v>236</v>
      </c>
      <c r="F87" s="106">
        <f ca="1">F76+F79+F85</f>
        <v>5880.144073329122</v>
      </c>
      <c r="G87" s="106">
        <f ca="1">G76+G79+G85</f>
        <v>7988.9897873983664</v>
      </c>
      <c r="H87" s="106">
        <f ca="1">H76+H79+H85</f>
        <v>13039.256158114073</v>
      </c>
      <c r="I87" s="106">
        <f ca="1">I76+I79+I85</f>
        <v>19787.523159260258</v>
      </c>
      <c r="J87" s="106">
        <f ca="1">J76+J79+J85</f>
        <v>30338.688963562647</v>
      </c>
      <c r="K87" s="106">
        <f t="shared" ref="K87:O87" ca="1" si="75">K76+K79+K85</f>
        <v>46061.586359329172</v>
      </c>
      <c r="L87" s="106">
        <f t="shared" ca="1" si="75"/>
        <v>71140.953659565173</v>
      </c>
      <c r="M87" s="106">
        <f t="shared" ca="1" si="75"/>
        <v>111156.26532548336</v>
      </c>
      <c r="N87" s="106">
        <f t="shared" ca="1" si="75"/>
        <v>177026.16939777817</v>
      </c>
      <c r="O87" s="106">
        <f t="shared" ca="1" si="75"/>
        <v>289183.00426475069</v>
      </c>
    </row>
    <row r="88" spans="2:17" ht="15" customHeight="1">
      <c r="F88" s="115"/>
    </row>
    <row r="89" spans="2:17" s="13" customFormat="1" ht="15.75" thickBot="1"/>
    <row r="90" spans="2:17" s="13" customFormat="1">
      <c r="B90" s="285" t="str">
        <f t="shared" ref="B90:J90" si="76">B13</f>
        <v xml:space="preserve">Fiscal year  </v>
      </c>
      <c r="C90" s="286">
        <f t="shared" si="76"/>
        <v>2018</v>
      </c>
      <c r="D90" s="286">
        <f t="shared" si="76"/>
        <v>2019</v>
      </c>
      <c r="E90" s="286">
        <f t="shared" si="76"/>
        <v>2020</v>
      </c>
      <c r="F90" s="287">
        <f t="shared" si="76"/>
        <v>2021</v>
      </c>
      <c r="G90" s="287">
        <f t="shared" si="76"/>
        <v>2022</v>
      </c>
      <c r="H90" s="287">
        <f t="shared" si="76"/>
        <v>2023</v>
      </c>
      <c r="I90" s="287">
        <f t="shared" si="76"/>
        <v>2024</v>
      </c>
      <c r="J90" s="287">
        <f t="shared" si="76"/>
        <v>2025</v>
      </c>
      <c r="K90" s="287">
        <f t="shared" ref="K90:O90" si="77">K13</f>
        <v>2026</v>
      </c>
      <c r="L90" s="287">
        <f t="shared" si="77"/>
        <v>2027</v>
      </c>
      <c r="M90" s="287">
        <f t="shared" si="77"/>
        <v>2028</v>
      </c>
      <c r="N90" s="287">
        <f t="shared" si="77"/>
        <v>2029</v>
      </c>
      <c r="O90" s="287">
        <f t="shared" si="77"/>
        <v>2030</v>
      </c>
    </row>
    <row r="91" spans="2:17" s="13" customFormat="1" ht="15.75" thickBot="1">
      <c r="B91" s="288" t="str">
        <f t="shared" ref="B91:J91" si="78">B14</f>
        <v>Fiscal year end date</v>
      </c>
      <c r="C91" s="289">
        <f t="shared" si="78"/>
        <v>43465</v>
      </c>
      <c r="D91" s="289">
        <f t="shared" si="78"/>
        <v>43830</v>
      </c>
      <c r="E91" s="289">
        <f t="shared" si="78"/>
        <v>44196</v>
      </c>
      <c r="F91" s="289">
        <f t="shared" si="78"/>
        <v>44561</v>
      </c>
      <c r="G91" s="289">
        <f t="shared" si="78"/>
        <v>44926</v>
      </c>
      <c r="H91" s="289">
        <f t="shared" si="78"/>
        <v>45291</v>
      </c>
      <c r="I91" s="289">
        <f t="shared" si="78"/>
        <v>45657</v>
      </c>
      <c r="J91" s="289">
        <f t="shared" si="78"/>
        <v>46022</v>
      </c>
      <c r="K91" s="289">
        <f t="shared" ref="K91:O91" si="79">K14</f>
        <v>46387</v>
      </c>
      <c r="L91" s="289">
        <f t="shared" si="79"/>
        <v>46752</v>
      </c>
      <c r="M91" s="289">
        <f t="shared" si="79"/>
        <v>47118</v>
      </c>
      <c r="N91" s="289">
        <f t="shared" si="79"/>
        <v>47483</v>
      </c>
      <c r="O91" s="289">
        <f t="shared" si="79"/>
        <v>47848</v>
      </c>
    </row>
    <row r="92" spans="2:17" s="13" customFormat="1">
      <c r="C92" s="109"/>
      <c r="D92" s="109"/>
      <c r="E92" s="109"/>
      <c r="F92" s="109"/>
      <c r="G92" s="109"/>
      <c r="H92" s="109"/>
      <c r="I92" s="109"/>
      <c r="J92" s="109"/>
      <c r="K92" s="109"/>
      <c r="L92" s="109"/>
      <c r="M92" s="109"/>
      <c r="N92" s="109"/>
      <c r="O92" s="109"/>
    </row>
    <row r="93" spans="2:17">
      <c r="B93" s="56" t="s">
        <v>277</v>
      </c>
      <c r="C93" s="57"/>
      <c r="D93" s="57"/>
      <c r="E93" s="57"/>
      <c r="F93" s="57"/>
      <c r="G93" s="57"/>
      <c r="H93" s="57"/>
      <c r="I93" s="57"/>
      <c r="J93" s="57"/>
      <c r="K93" s="57"/>
      <c r="L93" s="57"/>
      <c r="M93" s="57"/>
      <c r="N93" s="57"/>
      <c r="O93" s="57"/>
      <c r="Q93" s="247"/>
    </row>
    <row r="94" spans="2:17">
      <c r="B94" s="67" t="s">
        <v>237</v>
      </c>
      <c r="C94" s="80"/>
      <c r="D94" s="80"/>
      <c r="E94" s="80"/>
      <c r="F94" s="105">
        <f>E97</f>
        <v>23375</v>
      </c>
      <c r="G94" s="105">
        <f ca="1">F97</f>
        <v>26676.62055940276</v>
      </c>
      <c r="H94" s="105">
        <f ca="1">G97</f>
        <v>32103.623636570908</v>
      </c>
      <c r="I94" s="105">
        <f ca="1">H97</f>
        <v>40346.757090046282</v>
      </c>
      <c r="J94" s="105">
        <f ca="1">I97</f>
        <v>52420.793075454319</v>
      </c>
      <c r="K94" s="105">
        <f t="shared" ref="K94:O94" ca="1" si="80">J97</f>
        <v>69822.64020053127</v>
      </c>
      <c r="L94" s="105">
        <f t="shared" ca="1" si="80"/>
        <v>94780.918022445039</v>
      </c>
      <c r="M94" s="105">
        <f t="shared" ca="1" si="80"/>
        <v>130656.83283620089</v>
      </c>
      <c r="N94" s="105">
        <f t="shared" ca="1" si="80"/>
        <v>182599.00907639749</v>
      </c>
      <c r="O94" s="105">
        <f t="shared" ca="1" si="80"/>
        <v>258629.96965227093</v>
      </c>
      <c r="Q94" s="247"/>
    </row>
    <row r="95" spans="2:17">
      <c r="B95" s="76" t="s">
        <v>276</v>
      </c>
      <c r="C95" s="107">
        <f>-(CFS!J21)</f>
        <v>2319</v>
      </c>
      <c r="D95" s="107">
        <f>-(CFS!K21)</f>
        <v>1432</v>
      </c>
      <c r="E95" s="107">
        <f>-(CFS!L21)</f>
        <v>3232</v>
      </c>
      <c r="F95" s="257">
        <f ca="1">Valuation!F20</f>
        <v>5951.7373516415582</v>
      </c>
      <c r="G95" s="257">
        <f ca="1">Valuation!G20</f>
        <v>8211.7120378278669</v>
      </c>
      <c r="H95" s="257">
        <f ca="1">Valuation!H20</f>
        <v>11370.265541617769</v>
      </c>
      <c r="I95" s="257">
        <f ca="1">Valuation!I20</f>
        <v>15814.879389765534</v>
      </c>
      <c r="J95" s="257">
        <f ca="1">Valuation!J20</f>
        <v>22121.867463571954</v>
      </c>
      <c r="K95" s="257">
        <f ca="1">Valuation!K20</f>
        <v>31162.893846962324</v>
      </c>
      <c r="L95" s="257">
        <f ca="1">Valuation!L20</f>
        <v>44280.141734370496</v>
      </c>
      <c r="M95" s="257">
        <f ca="1">Valuation!M20</f>
        <v>63578.757800726278</v>
      </c>
      <c r="N95" s="257">
        <f ca="1">Valuation!N20</f>
        <v>92421.596741614121</v>
      </c>
      <c r="O95" s="257">
        <f ca="1">Valuation!O20</f>
        <v>134741.9758378535</v>
      </c>
      <c r="Q95" s="247"/>
    </row>
    <row r="96" spans="2:17">
      <c r="B96" s="271" t="s">
        <v>238</v>
      </c>
      <c r="C96" s="272">
        <f>BS!J15-BS!I15</f>
        <v>-975.80000000000018</v>
      </c>
      <c r="D96" s="272">
        <f>BS!K15-BS!J15</f>
        <v>-1210</v>
      </c>
      <c r="E96" s="272">
        <f>BS!L15-BS!K15</f>
        <v>-1655</v>
      </c>
      <c r="F96" s="202">
        <f t="shared" ref="F96:N96" ca="1" si="81">-(F120)</f>
        <v>-2650.1167922387986</v>
      </c>
      <c r="G96" s="202">
        <f t="shared" ca="1" si="81"/>
        <v>-2784.7089606597183</v>
      </c>
      <c r="H96" s="202">
        <f t="shared" ca="1" si="81"/>
        <v>-3127.1320881423949</v>
      </c>
      <c r="I96" s="202">
        <f t="shared" ca="1" si="81"/>
        <v>-3740.8434043574971</v>
      </c>
      <c r="J96" s="202">
        <f t="shared" ca="1" si="81"/>
        <v>-4720.0203384949973</v>
      </c>
      <c r="K96" s="202">
        <f t="shared" ca="1" si="81"/>
        <v>-6204.6160250485591</v>
      </c>
      <c r="L96" s="202">
        <f t="shared" ca="1" si="81"/>
        <v>-8404.2269206146539</v>
      </c>
      <c r="M96" s="202">
        <f t="shared" ca="1" si="81"/>
        <v>-11636.581560529692</v>
      </c>
      <c r="N96" s="202">
        <f t="shared" ca="1" si="81"/>
        <v>-16390.636165740685</v>
      </c>
      <c r="O96" s="202">
        <f ca="1">-(O120)</f>
        <v>-23383.660893891549</v>
      </c>
      <c r="Q96" s="247"/>
    </row>
    <row r="97" spans="1:21">
      <c r="B97" s="163" t="s">
        <v>239</v>
      </c>
      <c r="C97" s="273">
        <f>C43</f>
        <v>19691</v>
      </c>
      <c r="D97" s="273">
        <f>D43</f>
        <v>20199</v>
      </c>
      <c r="E97" s="273">
        <f>E43</f>
        <v>23375</v>
      </c>
      <c r="F97" s="273">
        <f ca="1">SUM(F94:F96)</f>
        <v>26676.62055940276</v>
      </c>
      <c r="G97" s="273">
        <f ca="1">SUM(G94:G96)</f>
        <v>32103.623636570908</v>
      </c>
      <c r="H97" s="273">
        <f ca="1">SUM(H94:H96)</f>
        <v>40346.757090046282</v>
      </c>
      <c r="I97" s="273">
        <f ca="1">SUM(I94:I96)</f>
        <v>52420.793075454319</v>
      </c>
      <c r="J97" s="273">
        <f ca="1">SUM(J94:J96)</f>
        <v>69822.64020053127</v>
      </c>
      <c r="K97" s="273">
        <f t="shared" ref="K97:O97" ca="1" si="82">SUM(K94:K96)</f>
        <v>94780.918022445039</v>
      </c>
      <c r="L97" s="273">
        <f t="shared" ca="1" si="82"/>
        <v>130656.83283620089</v>
      </c>
      <c r="M97" s="273">
        <f t="shared" ca="1" si="82"/>
        <v>182599.00907639749</v>
      </c>
      <c r="N97" s="273">
        <f t="shared" ca="1" si="82"/>
        <v>258629.96965227093</v>
      </c>
      <c r="O97" s="273">
        <f t="shared" ca="1" si="82"/>
        <v>369988.28459623287</v>
      </c>
      <c r="Q97" s="247"/>
    </row>
    <row r="98" spans="1:21">
      <c r="B98" s="274"/>
      <c r="C98" s="158"/>
      <c r="D98" s="158"/>
      <c r="E98" s="158"/>
      <c r="F98" s="142"/>
      <c r="G98" s="142"/>
      <c r="H98" s="142"/>
      <c r="I98" s="142"/>
      <c r="J98" s="142"/>
      <c r="K98" s="142"/>
      <c r="L98" s="142"/>
      <c r="M98" s="142"/>
      <c r="N98" s="142"/>
      <c r="O98" s="142"/>
      <c r="S98" s="80"/>
      <c r="T98" s="80"/>
      <c r="U98" s="80"/>
    </row>
    <row r="99" spans="1:21" s="247" customFormat="1">
      <c r="A99" s="13"/>
      <c r="B99" s="278" t="s">
        <v>323</v>
      </c>
      <c r="C99" s="277"/>
      <c r="D99" s="277"/>
      <c r="E99" s="277"/>
      <c r="F99" s="121"/>
      <c r="G99" s="121"/>
      <c r="H99" s="121"/>
      <c r="I99" s="121"/>
      <c r="J99" s="121"/>
      <c r="K99" s="230"/>
      <c r="L99" s="230"/>
      <c r="M99" s="121"/>
      <c r="N99" s="230"/>
      <c r="O99" s="283"/>
      <c r="P99" s="13"/>
      <c r="Q99" s="80"/>
      <c r="R99" s="80"/>
      <c r="S99" s="80"/>
    </row>
    <row r="100" spans="1:21" s="247" customFormat="1">
      <c r="A100" s="13"/>
      <c r="B100" s="279" t="s">
        <v>324</v>
      </c>
      <c r="C100" s="202"/>
      <c r="D100" s="202"/>
      <c r="E100" s="202"/>
      <c r="F100" s="135"/>
      <c r="G100" s="142"/>
      <c r="H100" s="142"/>
      <c r="I100" s="142"/>
      <c r="J100" s="142"/>
      <c r="K100" s="13"/>
      <c r="L100" s="13"/>
      <c r="M100" s="142"/>
      <c r="N100" s="13"/>
      <c r="O100" s="284"/>
      <c r="P100" s="13"/>
      <c r="Q100" s="80"/>
      <c r="R100" s="80"/>
      <c r="S100" s="80"/>
    </row>
    <row r="101" spans="1:21" s="247" customFormat="1">
      <c r="A101" s="13"/>
      <c r="B101" s="280" t="s">
        <v>325</v>
      </c>
      <c r="C101" s="261">
        <f>BS!J14</f>
        <v>23344</v>
      </c>
      <c r="D101" s="261">
        <f>BS!K14</f>
        <v>25062</v>
      </c>
      <c r="E101" s="261">
        <f>BS!L14</f>
        <v>29893</v>
      </c>
      <c r="F101" s="135"/>
      <c r="G101" s="142"/>
      <c r="H101" s="142"/>
      <c r="I101" s="142"/>
      <c r="J101" s="142"/>
      <c r="K101" s="13"/>
      <c r="L101" s="13"/>
      <c r="M101" s="142"/>
      <c r="N101" s="13"/>
      <c r="O101" s="284"/>
      <c r="P101" s="13"/>
      <c r="Q101" s="80"/>
      <c r="R101" s="80"/>
      <c r="S101" s="80"/>
    </row>
    <row r="102" spans="1:21" s="247" customFormat="1">
      <c r="A102" s="13"/>
      <c r="B102" s="280" t="s">
        <v>335</v>
      </c>
      <c r="C102" s="261"/>
      <c r="D102" s="202">
        <v>3024</v>
      </c>
      <c r="E102" s="202">
        <v>3662</v>
      </c>
      <c r="F102" s="135"/>
      <c r="G102" s="142"/>
      <c r="H102" s="142"/>
      <c r="I102" s="142"/>
      <c r="J102" s="142"/>
      <c r="K102" s="13"/>
      <c r="L102" s="13"/>
      <c r="M102" s="142"/>
      <c r="N102" s="13"/>
      <c r="O102" s="284"/>
      <c r="P102" s="13"/>
      <c r="Q102" s="80"/>
      <c r="R102" s="80"/>
      <c r="S102" s="80"/>
    </row>
    <row r="103" spans="1:21" s="247" customFormat="1">
      <c r="A103" s="13"/>
      <c r="B103" s="280" t="s">
        <v>326</v>
      </c>
      <c r="C103" s="261">
        <f>-(BS!J15)</f>
        <v>3653</v>
      </c>
      <c r="D103" s="261">
        <f>-(BS!K15)</f>
        <v>4863</v>
      </c>
      <c r="E103" s="261">
        <f>-(BS!L15)</f>
        <v>6518</v>
      </c>
      <c r="F103" s="135"/>
      <c r="G103" s="142"/>
      <c r="H103" s="142"/>
      <c r="I103" s="142"/>
      <c r="J103" s="142"/>
      <c r="K103" s="13"/>
      <c r="L103" s="13"/>
      <c r="M103" s="142"/>
      <c r="N103" s="13"/>
      <c r="O103" s="284"/>
      <c r="P103" s="13"/>
      <c r="Q103" s="80"/>
      <c r="R103" s="80"/>
      <c r="S103" s="80"/>
    </row>
    <row r="104" spans="1:21" s="247" customFormat="1">
      <c r="A104" s="13"/>
      <c r="B104" s="280" t="s">
        <v>327</v>
      </c>
      <c r="C104" s="261"/>
      <c r="D104" s="260">
        <f>D101-D102-D103</f>
        <v>17175</v>
      </c>
      <c r="E104" s="260">
        <f>E101-E102-E103</f>
        <v>19713</v>
      </c>
      <c r="F104" s="135"/>
      <c r="G104" s="142"/>
      <c r="H104" s="142"/>
      <c r="I104" s="142"/>
      <c r="J104" s="142"/>
      <c r="K104" s="13"/>
      <c r="L104" s="13"/>
      <c r="M104" s="142"/>
      <c r="N104" s="13"/>
      <c r="O104" s="284"/>
      <c r="P104" s="13"/>
      <c r="Q104" s="80"/>
      <c r="R104" s="80"/>
      <c r="S104" s="80"/>
    </row>
    <row r="105" spans="1:21" s="247" customFormat="1">
      <c r="A105" s="13"/>
      <c r="B105" s="281"/>
      <c r="C105" s="202"/>
      <c r="D105" s="202"/>
      <c r="E105" s="202"/>
      <c r="F105" s="202"/>
      <c r="G105" s="13"/>
      <c r="H105" s="13"/>
      <c r="I105" s="13"/>
      <c r="J105" s="13"/>
      <c r="K105" s="13"/>
      <c r="L105" s="13"/>
      <c r="M105" s="142"/>
      <c r="N105" s="13"/>
      <c r="O105" s="284"/>
      <c r="P105" s="13"/>
      <c r="Q105" s="80"/>
      <c r="R105" s="80"/>
      <c r="S105" s="80"/>
    </row>
    <row r="106" spans="1:21" s="247" customFormat="1">
      <c r="A106" s="13"/>
      <c r="B106" s="279" t="s">
        <v>328</v>
      </c>
      <c r="C106" s="275">
        <f>IF(C107,C107,-ROUND((E101-E102)/E96,0))</f>
        <v>16</v>
      </c>
      <c r="D106" s="13"/>
      <c r="E106" s="13"/>
      <c r="F106" s="258" t="s">
        <v>329</v>
      </c>
      <c r="G106" s="157"/>
      <c r="H106" s="275"/>
      <c r="I106" s="157"/>
      <c r="J106" s="157"/>
      <c r="K106" s="13"/>
      <c r="L106" s="13"/>
      <c r="M106" s="142"/>
      <c r="N106" s="13"/>
      <c r="O106" s="284"/>
      <c r="P106" s="13"/>
      <c r="Q106" s="80"/>
      <c r="R106" s="80"/>
      <c r="S106" s="80"/>
    </row>
    <row r="107" spans="1:21" s="247" customFormat="1">
      <c r="A107" s="13"/>
      <c r="B107" s="279" t="s">
        <v>336</v>
      </c>
      <c r="C107" s="276"/>
      <c r="D107" s="13"/>
      <c r="E107" s="13"/>
      <c r="F107" s="259">
        <v>0.5</v>
      </c>
      <c r="G107" s="142"/>
      <c r="H107" s="142"/>
      <c r="I107" s="142"/>
      <c r="J107" s="142"/>
      <c r="K107" s="13"/>
      <c r="L107" s="13"/>
      <c r="M107" s="142"/>
      <c r="N107" s="13"/>
      <c r="O107" s="284"/>
      <c r="P107" s="13"/>
      <c r="Q107" s="80"/>
      <c r="R107" s="80"/>
      <c r="S107" s="80"/>
    </row>
    <row r="108" spans="1:21" s="247" customFormat="1">
      <c r="A108" s="13"/>
      <c r="B108" s="279"/>
      <c r="C108" s="158"/>
      <c r="D108" s="158"/>
      <c r="E108" s="158"/>
      <c r="F108" s="142"/>
      <c r="G108" s="142"/>
      <c r="H108" s="142"/>
      <c r="I108" s="142"/>
      <c r="J108" s="142"/>
      <c r="K108" s="13"/>
      <c r="L108" s="13"/>
      <c r="M108" s="142"/>
      <c r="N108" s="13"/>
      <c r="O108" s="284"/>
      <c r="P108" s="13"/>
      <c r="Q108" s="80"/>
      <c r="R108" s="80"/>
      <c r="S108" s="80"/>
    </row>
    <row r="109" spans="1:21" s="247" customFormat="1">
      <c r="A109" s="13"/>
      <c r="B109" s="279" t="str">
        <f>"Depreciation from existing PP&amp;E prior " &amp;F90</f>
        <v>Depreciation from existing PP&amp;E prior 2021</v>
      </c>
      <c r="C109" s="158"/>
      <c r="D109" s="13"/>
      <c r="E109" s="158"/>
      <c r="F109" s="263">
        <f t="shared" ref="F109:O109" si="83">DDB($E$104,0,$C$106,F90-$E$90)</f>
        <v>2464.125</v>
      </c>
      <c r="G109" s="262">
        <f t="shared" si="83"/>
        <v>2156.109375</v>
      </c>
      <c r="H109" s="262">
        <f t="shared" si="83"/>
        <v>1886.595703125</v>
      </c>
      <c r="I109" s="262">
        <f t="shared" si="83"/>
        <v>1650.771240234375</v>
      </c>
      <c r="J109" s="262">
        <f t="shared" si="83"/>
        <v>1444.4248352050781</v>
      </c>
      <c r="K109" s="262">
        <f t="shared" si="83"/>
        <v>1263.8717308044434</v>
      </c>
      <c r="L109" s="262">
        <f t="shared" si="83"/>
        <v>1105.8877644538879</v>
      </c>
      <c r="M109" s="262">
        <f t="shared" si="83"/>
        <v>967.65179389715195</v>
      </c>
      <c r="N109" s="262">
        <f t="shared" si="83"/>
        <v>846.69531966000795</v>
      </c>
      <c r="O109" s="268">
        <f t="shared" si="83"/>
        <v>740.85840470250696</v>
      </c>
      <c r="P109" s="13"/>
      <c r="Q109" s="80"/>
      <c r="R109" s="80"/>
      <c r="S109" s="80"/>
    </row>
    <row r="110" spans="1:21" s="247" customFormat="1">
      <c r="A110" s="13"/>
      <c r="B110" s="279" t="str">
        <f>"Depreciation from capex purchased in "&amp;F90</f>
        <v>Depreciation from capex purchased in 2021</v>
      </c>
      <c r="C110" s="158"/>
      <c r="D110" s="13"/>
      <c r="E110" s="158"/>
      <c r="F110" s="264">
        <f ca="1">$F$107*$F$95/$C$106</f>
        <v>185.99179223879869</v>
      </c>
      <c r="G110" s="260">
        <f t="shared" ref="G110:O110" ca="1" si="84">$F$95/$C$106</f>
        <v>371.98358447759739</v>
      </c>
      <c r="H110" s="260">
        <f t="shared" ca="1" si="84"/>
        <v>371.98358447759739</v>
      </c>
      <c r="I110" s="260">
        <f t="shared" ca="1" si="84"/>
        <v>371.98358447759739</v>
      </c>
      <c r="J110" s="260">
        <f t="shared" ca="1" si="84"/>
        <v>371.98358447759739</v>
      </c>
      <c r="K110" s="260">
        <f t="shared" ca="1" si="84"/>
        <v>371.98358447759739</v>
      </c>
      <c r="L110" s="260">
        <f t="shared" ca="1" si="84"/>
        <v>371.98358447759739</v>
      </c>
      <c r="M110" s="260">
        <f t="shared" ca="1" si="84"/>
        <v>371.98358447759739</v>
      </c>
      <c r="N110" s="260">
        <f t="shared" ca="1" si="84"/>
        <v>371.98358447759739</v>
      </c>
      <c r="O110" s="269">
        <f t="shared" ca="1" si="84"/>
        <v>371.98358447759739</v>
      </c>
      <c r="P110" s="13"/>
      <c r="Q110" s="80"/>
      <c r="R110" s="80"/>
      <c r="S110" s="80"/>
    </row>
    <row r="111" spans="1:21" s="247" customFormat="1">
      <c r="A111" s="13"/>
      <c r="B111" s="279" t="str">
        <f>"Depreciation from capex purchased in "&amp;G90</f>
        <v>Depreciation from capex purchased in 2022</v>
      </c>
      <c r="C111" s="158"/>
      <c r="D111" s="158"/>
      <c r="E111" s="158"/>
      <c r="F111" s="265"/>
      <c r="G111" s="260">
        <f ca="1">$F$107*$G$95/$C$106</f>
        <v>256.61600118212084</v>
      </c>
      <c r="H111" s="260">
        <f t="shared" ref="H111:O111" ca="1" si="85">$G$95/$C$106</f>
        <v>513.23200236424168</v>
      </c>
      <c r="I111" s="260">
        <f t="shared" ca="1" si="85"/>
        <v>513.23200236424168</v>
      </c>
      <c r="J111" s="260">
        <f t="shared" ca="1" si="85"/>
        <v>513.23200236424168</v>
      </c>
      <c r="K111" s="260">
        <f t="shared" ca="1" si="85"/>
        <v>513.23200236424168</v>
      </c>
      <c r="L111" s="260">
        <f t="shared" ca="1" si="85"/>
        <v>513.23200236424168</v>
      </c>
      <c r="M111" s="260">
        <f t="shared" ca="1" si="85"/>
        <v>513.23200236424168</v>
      </c>
      <c r="N111" s="260">
        <f t="shared" ca="1" si="85"/>
        <v>513.23200236424168</v>
      </c>
      <c r="O111" s="269">
        <f t="shared" ca="1" si="85"/>
        <v>513.23200236424168</v>
      </c>
      <c r="P111" s="13"/>
      <c r="Q111" s="80"/>
      <c r="R111" s="80"/>
      <c r="S111" s="80"/>
    </row>
    <row r="112" spans="1:21" s="247" customFormat="1">
      <c r="A112" s="13"/>
      <c r="B112" s="279" t="str">
        <f>"Depreciation from capex purchased in "&amp;H90</f>
        <v>Depreciation from capex purchased in 2023</v>
      </c>
      <c r="C112" s="158"/>
      <c r="D112" s="158"/>
      <c r="E112" s="158"/>
      <c r="F112" s="265"/>
      <c r="G112" s="261"/>
      <c r="H112" s="260">
        <f ca="1">$F$107*$H$95/$C$106</f>
        <v>355.3207981755553</v>
      </c>
      <c r="I112" s="260">
        <f t="shared" ref="I112:O112" ca="1" si="86">$H$95/$C$106</f>
        <v>710.64159635111059</v>
      </c>
      <c r="J112" s="260">
        <f t="shared" ca="1" si="86"/>
        <v>710.64159635111059</v>
      </c>
      <c r="K112" s="260">
        <f t="shared" ca="1" si="86"/>
        <v>710.64159635111059</v>
      </c>
      <c r="L112" s="260">
        <f t="shared" ca="1" si="86"/>
        <v>710.64159635111059</v>
      </c>
      <c r="M112" s="260">
        <f t="shared" ca="1" si="86"/>
        <v>710.64159635111059</v>
      </c>
      <c r="N112" s="260">
        <f t="shared" ca="1" si="86"/>
        <v>710.64159635111059</v>
      </c>
      <c r="O112" s="269">
        <f t="shared" ca="1" si="86"/>
        <v>710.64159635111059</v>
      </c>
      <c r="P112" s="13"/>
      <c r="Q112" s="80"/>
      <c r="R112" s="80"/>
      <c r="S112" s="80"/>
    </row>
    <row r="113" spans="1:21" s="247" customFormat="1">
      <c r="A113" s="13"/>
      <c r="B113" s="279" t="str">
        <f>"Depreciation from capex purchased in "&amp;I90</f>
        <v>Depreciation from capex purchased in 2024</v>
      </c>
      <c r="C113" s="158"/>
      <c r="D113" s="158"/>
      <c r="E113" s="158"/>
      <c r="F113" s="265"/>
      <c r="G113" s="261"/>
      <c r="H113" s="261"/>
      <c r="I113" s="260">
        <f ca="1">$F$107*$I$95/$C$106</f>
        <v>494.21498093017294</v>
      </c>
      <c r="J113" s="260">
        <f t="shared" ref="J113:O113" ca="1" si="87">$I$95/$C$106</f>
        <v>988.42996186034588</v>
      </c>
      <c r="K113" s="260">
        <f t="shared" ca="1" si="87"/>
        <v>988.42996186034588</v>
      </c>
      <c r="L113" s="260">
        <f t="shared" ca="1" si="87"/>
        <v>988.42996186034588</v>
      </c>
      <c r="M113" s="260">
        <f t="shared" ca="1" si="87"/>
        <v>988.42996186034588</v>
      </c>
      <c r="N113" s="260">
        <f t="shared" ca="1" si="87"/>
        <v>988.42996186034588</v>
      </c>
      <c r="O113" s="269">
        <f t="shared" ca="1" si="87"/>
        <v>988.42996186034588</v>
      </c>
      <c r="P113" s="13"/>
      <c r="Q113" s="80"/>
      <c r="R113" s="80"/>
      <c r="S113" s="80"/>
    </row>
    <row r="114" spans="1:21" s="247" customFormat="1">
      <c r="A114" s="13"/>
      <c r="B114" s="279" t="str">
        <f>"Depreciation from capex purchased in "&amp;J90</f>
        <v>Depreciation from capex purchased in 2025</v>
      </c>
      <c r="C114" s="158"/>
      <c r="D114" s="158"/>
      <c r="E114" s="158"/>
      <c r="F114" s="265"/>
      <c r="G114" s="261"/>
      <c r="H114" s="261"/>
      <c r="I114" s="261"/>
      <c r="J114" s="260">
        <f ca="1">$F$107*$J$95/$C$106</f>
        <v>691.30835823662358</v>
      </c>
      <c r="K114" s="260">
        <f ca="1">$J$95/$C$106</f>
        <v>1382.6167164732472</v>
      </c>
      <c r="L114" s="260">
        <f ca="1">$J$95/$C$106</f>
        <v>1382.6167164732472</v>
      </c>
      <c r="M114" s="260">
        <f ca="1">$J$95/$C$106</f>
        <v>1382.6167164732472</v>
      </c>
      <c r="N114" s="260">
        <f ca="1">$J$95/$C$106</f>
        <v>1382.6167164732472</v>
      </c>
      <c r="O114" s="269">
        <f ca="1">$J$95/$C$106</f>
        <v>1382.6167164732472</v>
      </c>
      <c r="P114" s="13"/>
      <c r="Q114" s="80"/>
      <c r="R114" s="80"/>
      <c r="S114" s="80"/>
    </row>
    <row r="115" spans="1:21" s="247" customFormat="1">
      <c r="A115" s="13"/>
      <c r="B115" s="279" t="str">
        <f>"Depreciation from capex purchased in "&amp;K90</f>
        <v>Depreciation from capex purchased in 2026</v>
      </c>
      <c r="C115" s="158"/>
      <c r="D115" s="158"/>
      <c r="E115" s="158"/>
      <c r="F115" s="265"/>
      <c r="G115" s="261"/>
      <c r="H115" s="261"/>
      <c r="I115" s="261"/>
      <c r="J115" s="261"/>
      <c r="K115" s="260">
        <f ca="1">$F$107*$K$95/$C$106</f>
        <v>973.84043271757264</v>
      </c>
      <c r="L115" s="260">
        <f ca="1">$K$95/$C$106</f>
        <v>1947.6808654351453</v>
      </c>
      <c r="M115" s="260">
        <f ca="1">$K$95/$C$106</f>
        <v>1947.6808654351453</v>
      </c>
      <c r="N115" s="260">
        <f ca="1">$K$95/$C$106</f>
        <v>1947.6808654351453</v>
      </c>
      <c r="O115" s="269">
        <f ca="1">$K$95/$C$106</f>
        <v>1947.6808654351453</v>
      </c>
      <c r="P115" s="13"/>
      <c r="Q115" s="80"/>
      <c r="R115" s="80"/>
      <c r="S115" s="80"/>
    </row>
    <row r="116" spans="1:21" s="247" customFormat="1">
      <c r="A116" s="13"/>
      <c r="B116" s="279" t="str">
        <f>"Depreciation from capex purchased in "&amp;L90</f>
        <v>Depreciation from capex purchased in 2027</v>
      </c>
      <c r="C116" s="158"/>
      <c r="D116" s="158"/>
      <c r="E116" s="158"/>
      <c r="F116" s="265"/>
      <c r="G116" s="261"/>
      <c r="H116" s="261"/>
      <c r="I116" s="261"/>
      <c r="J116" s="261"/>
      <c r="K116" s="261"/>
      <c r="L116" s="260">
        <f ca="1">$F$107*$L$95/$C$106</f>
        <v>1383.754429199078</v>
      </c>
      <c r="M116" s="260">
        <f ca="1">$L$95/$C$106</f>
        <v>2767.508858398156</v>
      </c>
      <c r="N116" s="260">
        <f ca="1">$L$95/$C$106</f>
        <v>2767.508858398156</v>
      </c>
      <c r="O116" s="269">
        <f ca="1">$L$95/$C$106</f>
        <v>2767.508858398156</v>
      </c>
      <c r="P116" s="13"/>
      <c r="Q116" s="80"/>
      <c r="R116" s="80"/>
      <c r="S116" s="80"/>
    </row>
    <row r="117" spans="1:21" s="247" customFormat="1">
      <c r="A117" s="13"/>
      <c r="B117" s="279" t="str">
        <f>"Depreciation from capex purchased in "&amp;M90</f>
        <v>Depreciation from capex purchased in 2028</v>
      </c>
      <c r="C117" s="158"/>
      <c r="D117" s="158"/>
      <c r="E117" s="158"/>
      <c r="F117" s="265"/>
      <c r="G117" s="261"/>
      <c r="H117" s="261"/>
      <c r="I117" s="261"/>
      <c r="J117" s="261"/>
      <c r="K117" s="261"/>
      <c r="L117" s="261"/>
      <c r="M117" s="260">
        <f ca="1">$F$107*$M$95/$C$106</f>
        <v>1986.8361812726962</v>
      </c>
      <c r="N117" s="260">
        <f ca="1">$M$95/$C$106</f>
        <v>3973.6723625453924</v>
      </c>
      <c r="O117" s="269">
        <f ca="1">$M$95/$C$106</f>
        <v>3973.6723625453924</v>
      </c>
      <c r="P117" s="13"/>
      <c r="Q117" s="80"/>
      <c r="R117" s="80"/>
      <c r="S117" s="80"/>
    </row>
    <row r="118" spans="1:21" s="247" customFormat="1">
      <c r="A118" s="13"/>
      <c r="B118" s="279" t="str">
        <f>"Depreciation from capex purchased in "&amp;N90</f>
        <v>Depreciation from capex purchased in 2029</v>
      </c>
      <c r="C118" s="158"/>
      <c r="D118" s="158"/>
      <c r="E118" s="158"/>
      <c r="F118" s="265"/>
      <c r="G118" s="261"/>
      <c r="H118" s="261"/>
      <c r="I118" s="261"/>
      <c r="J118" s="261"/>
      <c r="K118" s="261"/>
      <c r="L118" s="261"/>
      <c r="M118" s="261"/>
      <c r="N118" s="260">
        <f ca="1">$F$107*$N$95/$C$106</f>
        <v>2888.1748981754413</v>
      </c>
      <c r="O118" s="269">
        <f ca="1">$N$95/$C$106</f>
        <v>5776.3497963508826</v>
      </c>
      <c r="P118" s="13"/>
      <c r="Q118" s="80"/>
      <c r="R118" s="80"/>
      <c r="S118" s="80"/>
    </row>
    <row r="119" spans="1:21" s="247" customFormat="1">
      <c r="A119" s="13"/>
      <c r="B119" s="279" t="str">
        <f>"Depreciation from capex purchased in "&amp;O90</f>
        <v>Depreciation from capex purchased in 2030</v>
      </c>
      <c r="C119" s="158"/>
      <c r="D119" s="158"/>
      <c r="E119" s="158"/>
      <c r="F119" s="265"/>
      <c r="G119" s="261"/>
      <c r="H119" s="261"/>
      <c r="I119" s="261"/>
      <c r="J119" s="261"/>
      <c r="K119" s="261"/>
      <c r="L119" s="261"/>
      <c r="M119" s="261"/>
      <c r="N119" s="261"/>
      <c r="O119" s="269">
        <f ca="1">$F$107*$O$95/$C$106</f>
        <v>4210.686744932922</v>
      </c>
      <c r="P119" s="13"/>
      <c r="Q119" s="80"/>
      <c r="R119" s="80"/>
      <c r="S119" s="80"/>
    </row>
    <row r="120" spans="1:21" s="247" customFormat="1">
      <c r="A120" s="13"/>
      <c r="B120" s="282" t="s">
        <v>330</v>
      </c>
      <c r="C120" s="250"/>
      <c r="D120" s="250"/>
      <c r="E120" s="250"/>
      <c r="F120" s="266">
        <f ca="1">SUM(F109:F119)</f>
        <v>2650.1167922387986</v>
      </c>
      <c r="G120" s="267">
        <f t="shared" ref="G120:O120" ca="1" si="88">SUM(G109:G119)</f>
        <v>2784.7089606597183</v>
      </c>
      <c r="H120" s="267">
        <f t="shared" ca="1" si="88"/>
        <v>3127.1320881423949</v>
      </c>
      <c r="I120" s="267">
        <f t="shared" ca="1" si="88"/>
        <v>3740.8434043574971</v>
      </c>
      <c r="J120" s="267">
        <f t="shared" ca="1" si="88"/>
        <v>4720.0203384949973</v>
      </c>
      <c r="K120" s="267">
        <f t="shared" ca="1" si="88"/>
        <v>6204.6160250485591</v>
      </c>
      <c r="L120" s="267">
        <f t="shared" ca="1" si="88"/>
        <v>8404.2269206146539</v>
      </c>
      <c r="M120" s="267">
        <f t="shared" ca="1" si="88"/>
        <v>11636.581560529692</v>
      </c>
      <c r="N120" s="267">
        <f t="shared" ca="1" si="88"/>
        <v>16390.636165740685</v>
      </c>
      <c r="O120" s="270">
        <f t="shared" ca="1" si="88"/>
        <v>23383.660893891549</v>
      </c>
      <c r="P120" s="13"/>
      <c r="Q120" s="80"/>
      <c r="R120" s="80"/>
      <c r="S120" s="80"/>
    </row>
    <row r="121" spans="1:21" s="247" customFormat="1">
      <c r="B121" s="13"/>
      <c r="C121" s="274"/>
      <c r="D121" s="158"/>
      <c r="E121" s="158"/>
      <c r="F121" s="158"/>
      <c r="G121" s="142"/>
      <c r="H121" s="142"/>
      <c r="I121" s="142"/>
      <c r="J121" s="142"/>
      <c r="K121" s="142"/>
      <c r="L121" s="13"/>
      <c r="M121" s="142"/>
      <c r="N121" s="13"/>
      <c r="O121" s="13"/>
      <c r="Q121" s="80"/>
      <c r="R121" s="80"/>
      <c r="S121" s="80"/>
    </row>
    <row r="122" spans="1:21">
      <c r="B122" s="81" t="s">
        <v>87</v>
      </c>
      <c r="C122" s="82"/>
      <c r="D122" s="82"/>
      <c r="E122" s="82"/>
      <c r="F122" s="83"/>
      <c r="G122" s="83"/>
      <c r="H122" s="83"/>
      <c r="I122" s="83"/>
      <c r="J122" s="83"/>
      <c r="K122" s="83"/>
      <c r="L122" s="83"/>
      <c r="M122" s="83"/>
      <c r="N122" s="83"/>
      <c r="O122" s="83"/>
      <c r="S122" s="80"/>
      <c r="T122" s="80"/>
      <c r="U122" s="80"/>
    </row>
    <row r="123" spans="1:21">
      <c r="B123" s="67" t="s">
        <v>278</v>
      </c>
      <c r="C123" s="63">
        <f>C125+C96</f>
        <v>912.19999999999982</v>
      </c>
      <c r="D123" s="63">
        <f>D125+D96</f>
        <v>882</v>
      </c>
      <c r="E123" s="63">
        <f>E125+E96</f>
        <v>667</v>
      </c>
      <c r="F123" s="63">
        <f t="shared" ref="F123:O123" ca="1" si="89">F124*F16</f>
        <v>833.08638231265763</v>
      </c>
      <c r="G123" s="63">
        <f t="shared" ca="1" si="89"/>
        <v>1143.5042598288564</v>
      </c>
      <c r="H123" s="63">
        <f t="shared" ca="1" si="89"/>
        <v>1670.7734596012447</v>
      </c>
      <c r="I123" s="63">
        <f t="shared" ca="1" si="89"/>
        <v>2410.5132269164892</v>
      </c>
      <c r="J123" s="63">
        <f t="shared" ca="1" si="89"/>
        <v>3478.7720102300896</v>
      </c>
      <c r="K123" s="63">
        <f t="shared" ca="1" si="89"/>
        <v>5053.4927040374696</v>
      </c>
      <c r="L123" s="63">
        <f t="shared" ca="1" si="89"/>
        <v>7420.6849745461222</v>
      </c>
      <c r="M123" s="63">
        <f t="shared" ca="1" si="89"/>
        <v>11025.059388176755</v>
      </c>
      <c r="N123" s="63">
        <f t="shared" ca="1" si="89"/>
        <v>16644.002938550893</v>
      </c>
      <c r="O123" s="63">
        <f t="shared" ca="1" si="89"/>
        <v>25589.206397231079</v>
      </c>
      <c r="Q123" s="419"/>
      <c r="S123" s="80"/>
      <c r="T123" s="80"/>
      <c r="U123" s="80"/>
    </row>
    <row r="124" spans="1:21">
      <c r="B124" s="66" t="s">
        <v>240</v>
      </c>
      <c r="C124" s="118">
        <f>C123/C16</f>
        <v>4.2505009086249469E-2</v>
      </c>
      <c r="D124" s="118">
        <f>D123/D16</f>
        <v>3.5885751485067945E-2</v>
      </c>
      <c r="E124" s="118">
        <f>E123/E16</f>
        <v>2.1150431253170978E-2</v>
      </c>
      <c r="F124" s="69">
        <f>E124</f>
        <v>2.1150431253170978E-2</v>
      </c>
      <c r="G124" s="69">
        <f>F124</f>
        <v>2.1150431253170978E-2</v>
      </c>
      <c r="H124" s="69">
        <f>G124</f>
        <v>2.1150431253170978E-2</v>
      </c>
      <c r="I124" s="69">
        <f>H124</f>
        <v>2.1150431253170978E-2</v>
      </c>
      <c r="J124" s="69">
        <f>I124</f>
        <v>2.1150431253170978E-2</v>
      </c>
      <c r="K124" s="69">
        <f t="shared" ref="K124:O124" si="90">J124</f>
        <v>2.1150431253170978E-2</v>
      </c>
      <c r="L124" s="69">
        <f t="shared" si="90"/>
        <v>2.1150431253170978E-2</v>
      </c>
      <c r="M124" s="69">
        <f t="shared" si="90"/>
        <v>2.1150431253170978E-2</v>
      </c>
      <c r="N124" s="69">
        <f t="shared" si="90"/>
        <v>2.1150431253170978E-2</v>
      </c>
      <c r="O124" s="69">
        <f t="shared" si="90"/>
        <v>2.1150431253170978E-2</v>
      </c>
      <c r="Q124" s="419"/>
    </row>
    <row r="125" spans="1:21">
      <c r="B125" s="68" t="s">
        <v>241</v>
      </c>
      <c r="C125" s="64">
        <f>C31</f>
        <v>1888</v>
      </c>
      <c r="D125" s="64">
        <f>D31</f>
        <v>2092</v>
      </c>
      <c r="E125" s="64">
        <f>E31</f>
        <v>2322</v>
      </c>
      <c r="F125" s="64">
        <f t="shared" ref="F125:O125" ca="1" si="91">-F96+F123</f>
        <v>3483.203174551456</v>
      </c>
      <c r="G125" s="64">
        <f t="shared" ca="1" si="91"/>
        <v>3928.2132204885747</v>
      </c>
      <c r="H125" s="64">
        <f t="shared" ca="1" si="91"/>
        <v>4797.9055477436395</v>
      </c>
      <c r="I125" s="64">
        <f t="shared" ca="1" si="91"/>
        <v>6151.3566312739858</v>
      </c>
      <c r="J125" s="64">
        <f t="shared" ca="1" si="91"/>
        <v>8198.7923487250864</v>
      </c>
      <c r="K125" s="64">
        <f t="shared" ca="1" si="91"/>
        <v>11258.108729086029</v>
      </c>
      <c r="L125" s="64">
        <f t="shared" ca="1" si="91"/>
        <v>15824.911895160776</v>
      </c>
      <c r="M125" s="64">
        <f t="shared" ca="1" si="91"/>
        <v>22661.640948706445</v>
      </c>
      <c r="N125" s="64">
        <f t="shared" ca="1" si="91"/>
        <v>33034.639104291578</v>
      </c>
      <c r="O125" s="64">
        <f t="shared" ca="1" si="91"/>
        <v>48972.867291122631</v>
      </c>
      <c r="Q125" s="419"/>
    </row>
    <row r="126" spans="1:21">
      <c r="B126" s="67"/>
      <c r="C126" s="65"/>
      <c r="D126" s="65"/>
      <c r="E126" s="65"/>
      <c r="G126" s="65"/>
      <c r="H126" s="65"/>
      <c r="I126" s="65"/>
      <c r="J126" s="65"/>
      <c r="K126" s="65"/>
      <c r="L126" s="65"/>
      <c r="M126" s="65"/>
      <c r="N126" s="65"/>
      <c r="O126" s="65"/>
    </row>
    <row r="127" spans="1:21">
      <c r="B127" s="85" t="s">
        <v>279</v>
      </c>
      <c r="C127" s="57"/>
      <c r="D127" s="57"/>
      <c r="E127" s="57"/>
      <c r="G127" s="65"/>
      <c r="H127" s="65"/>
      <c r="I127" s="65"/>
      <c r="J127" s="65"/>
      <c r="K127" s="65"/>
      <c r="L127" s="65"/>
      <c r="M127" s="65"/>
      <c r="N127" s="65"/>
      <c r="O127" s="65"/>
    </row>
    <row r="128" spans="1:21">
      <c r="B128" s="67" t="s">
        <v>237</v>
      </c>
      <c r="C128" s="80"/>
      <c r="D128" s="80"/>
      <c r="E128" s="80"/>
      <c r="F128" s="123">
        <f>E131</f>
        <v>1982</v>
      </c>
      <c r="G128" s="123">
        <f ca="1">F131</f>
        <v>2475.528050590236</v>
      </c>
      <c r="H128" s="123">
        <f ca="1">G131</f>
        <v>3397.9391948737534</v>
      </c>
      <c r="I128" s="123">
        <f ca="1">H131</f>
        <v>4964.7271318285857</v>
      </c>
      <c r="J128" s="123">
        <f ca="1">I131</f>
        <v>7162.8743864295084</v>
      </c>
      <c r="K128" s="123">
        <f t="shared" ref="K128:O128" ca="1" si="92">J131</f>
        <v>10337.220576125994</v>
      </c>
      <c r="L128" s="123">
        <f t="shared" ca="1" si="92"/>
        <v>15016.525546330233</v>
      </c>
      <c r="M128" s="123">
        <f t="shared" ca="1" si="92"/>
        <v>22050.671093778732</v>
      </c>
      <c r="N128" s="123">
        <f t="shared" ca="1" si="92"/>
        <v>32761.121000549218</v>
      </c>
      <c r="O128" s="123">
        <f t="shared" ca="1" si="92"/>
        <v>49457.891790416601</v>
      </c>
      <c r="Q128" s="419"/>
    </row>
    <row r="129" spans="2:21">
      <c r="B129" s="66" t="s">
        <v>280</v>
      </c>
      <c r="C129" s="80"/>
      <c r="D129" s="80"/>
      <c r="E129" s="80"/>
      <c r="F129" s="105">
        <f ca="1">-(F123)</f>
        <v>-833.08638231265763</v>
      </c>
      <c r="G129" s="105">
        <f ca="1">-(G123)</f>
        <v>-1143.5042598288564</v>
      </c>
      <c r="H129" s="105">
        <f ca="1">-(H123)</f>
        <v>-1670.7734596012447</v>
      </c>
      <c r="I129" s="105">
        <f ca="1">-(I123)</f>
        <v>-2410.5132269164892</v>
      </c>
      <c r="J129" s="105">
        <f ca="1">-(J123)</f>
        <v>-3478.7720102300896</v>
      </c>
      <c r="K129" s="105">
        <f t="shared" ref="K129:O129" ca="1" si="93">-(K123)</f>
        <v>-5053.4927040374696</v>
      </c>
      <c r="L129" s="105">
        <f t="shared" ca="1" si="93"/>
        <v>-7420.6849745461222</v>
      </c>
      <c r="M129" s="105">
        <f t="shared" ca="1" si="93"/>
        <v>-11025.059388176755</v>
      </c>
      <c r="N129" s="105">
        <f t="shared" ca="1" si="93"/>
        <v>-16644.002938550893</v>
      </c>
      <c r="O129" s="105">
        <f t="shared" ca="1" si="93"/>
        <v>-25589.206397231079</v>
      </c>
      <c r="Q129" s="419"/>
    </row>
    <row r="130" spans="2:21" ht="15" customHeight="1">
      <c r="B130" s="86" t="s">
        <v>281</v>
      </c>
      <c r="C130" s="124"/>
      <c r="D130" s="124"/>
      <c r="E130" s="124"/>
      <c r="F130" s="119">
        <f ca="1">F131-F129-F128</f>
        <v>1326.6144329028939</v>
      </c>
      <c r="G130" s="119">
        <f ca="1">G131-G129-G128</f>
        <v>2065.9154041123743</v>
      </c>
      <c r="H130" s="119">
        <f ca="1">H131-H129-H128</f>
        <v>3237.5613965560774</v>
      </c>
      <c r="I130" s="119">
        <f ca="1">I131-I129-I128</f>
        <v>4608.6604815174123</v>
      </c>
      <c r="J130" s="119">
        <f ca="1">J131-J129-J128</f>
        <v>6653.1181999265755</v>
      </c>
      <c r="K130" s="119">
        <f t="shared" ref="K130:O130" ca="1" si="94">K131-K129-K128</f>
        <v>9732.7976742417086</v>
      </c>
      <c r="L130" s="119">
        <f t="shared" ca="1" si="94"/>
        <v>14454.830521994621</v>
      </c>
      <c r="M130" s="119">
        <f t="shared" ca="1" si="94"/>
        <v>21735.509294947242</v>
      </c>
      <c r="N130" s="119">
        <f t="shared" ca="1" si="94"/>
        <v>33340.77372841828</v>
      </c>
      <c r="O130" s="119">
        <f t="shared" ca="1" si="94"/>
        <v>52170.005880145807</v>
      </c>
      <c r="Q130" s="419"/>
    </row>
    <row r="131" spans="2:21">
      <c r="B131" s="79" t="s">
        <v>239</v>
      </c>
      <c r="C131" s="106">
        <f t="shared" ref="C131:O131" si="95">C45+C44</f>
        <v>1308</v>
      </c>
      <c r="D131" s="106">
        <f t="shared" si="95"/>
        <v>2006</v>
      </c>
      <c r="E131" s="106">
        <f t="shared" si="95"/>
        <v>1982</v>
      </c>
      <c r="F131" s="106">
        <f t="shared" ca="1" si="95"/>
        <v>2475.528050590236</v>
      </c>
      <c r="G131" s="106">
        <f t="shared" ca="1" si="95"/>
        <v>3397.9391948737534</v>
      </c>
      <c r="H131" s="106">
        <f t="shared" ca="1" si="95"/>
        <v>4964.7271318285857</v>
      </c>
      <c r="I131" s="106">
        <f t="shared" ca="1" si="95"/>
        <v>7162.8743864295084</v>
      </c>
      <c r="J131" s="106">
        <f t="shared" ca="1" si="95"/>
        <v>10337.220576125994</v>
      </c>
      <c r="K131" s="106">
        <f t="shared" ca="1" si="95"/>
        <v>15016.525546330233</v>
      </c>
      <c r="L131" s="106">
        <f t="shared" ca="1" si="95"/>
        <v>22050.671093778732</v>
      </c>
      <c r="M131" s="106">
        <f t="shared" ca="1" si="95"/>
        <v>32761.121000549218</v>
      </c>
      <c r="N131" s="106">
        <f t="shared" ca="1" si="95"/>
        <v>49457.891790416601</v>
      </c>
      <c r="O131" s="106">
        <f t="shared" ca="1" si="95"/>
        <v>76038.691273331322</v>
      </c>
      <c r="Q131" s="419"/>
    </row>
    <row r="132" spans="2:21">
      <c r="B132" s="66"/>
      <c r="C132" s="65"/>
      <c r="D132" s="65"/>
      <c r="E132" s="65"/>
      <c r="G132" s="65"/>
      <c r="H132" s="65"/>
      <c r="I132" s="65"/>
      <c r="J132" s="65"/>
      <c r="K132" s="65"/>
      <c r="L132" s="65"/>
      <c r="M132" s="65"/>
      <c r="N132" s="65"/>
      <c r="O132" s="65"/>
      <c r="Q132" s="419"/>
    </row>
    <row r="133" spans="2:21">
      <c r="B133" s="56" t="s">
        <v>234</v>
      </c>
      <c r="C133" s="57"/>
      <c r="D133" s="57"/>
      <c r="E133" s="57"/>
      <c r="F133" s="57"/>
      <c r="G133" s="57"/>
      <c r="H133" s="57"/>
      <c r="I133" s="57"/>
      <c r="J133" s="57"/>
      <c r="K133" s="57"/>
      <c r="L133" s="57"/>
      <c r="M133" s="57"/>
      <c r="N133" s="57"/>
      <c r="O133" s="57"/>
      <c r="Q133" s="419"/>
      <c r="S133" s="80"/>
      <c r="T133" s="80"/>
    </row>
    <row r="134" spans="2:21">
      <c r="B134" s="72" t="str">
        <f t="shared" ref="B134:O134" si="96">B13</f>
        <v xml:space="preserve">Fiscal year  </v>
      </c>
      <c r="C134" s="110">
        <f t="shared" si="96"/>
        <v>2018</v>
      </c>
      <c r="D134" s="110">
        <f t="shared" si="96"/>
        <v>2019</v>
      </c>
      <c r="E134" s="110">
        <f t="shared" si="96"/>
        <v>2020</v>
      </c>
      <c r="F134" s="111">
        <f t="shared" si="96"/>
        <v>2021</v>
      </c>
      <c r="G134" s="111">
        <f t="shared" si="96"/>
        <v>2022</v>
      </c>
      <c r="H134" s="111">
        <f t="shared" si="96"/>
        <v>2023</v>
      </c>
      <c r="I134" s="111">
        <f t="shared" si="96"/>
        <v>2024</v>
      </c>
      <c r="J134" s="111">
        <f t="shared" si="96"/>
        <v>2025</v>
      </c>
      <c r="K134" s="111">
        <f t="shared" si="96"/>
        <v>2026</v>
      </c>
      <c r="L134" s="111">
        <f t="shared" si="96"/>
        <v>2027</v>
      </c>
      <c r="M134" s="111">
        <f t="shared" si="96"/>
        <v>2028</v>
      </c>
      <c r="N134" s="111">
        <f t="shared" si="96"/>
        <v>2029</v>
      </c>
      <c r="O134" s="111">
        <f t="shared" si="96"/>
        <v>2030</v>
      </c>
      <c r="S134" s="80"/>
      <c r="T134" s="80"/>
    </row>
    <row r="135" spans="2:21">
      <c r="B135" s="57" t="str">
        <f t="shared" ref="B135:O135" si="97">B14</f>
        <v>Fiscal year end date</v>
      </c>
      <c r="C135" s="74">
        <f t="shared" si="97"/>
        <v>43465</v>
      </c>
      <c r="D135" s="74">
        <f t="shared" si="97"/>
        <v>43830</v>
      </c>
      <c r="E135" s="74">
        <f t="shared" si="97"/>
        <v>44196</v>
      </c>
      <c r="F135" s="74">
        <f t="shared" si="97"/>
        <v>44561</v>
      </c>
      <c r="G135" s="74">
        <f t="shared" si="97"/>
        <v>44926</v>
      </c>
      <c r="H135" s="74">
        <f t="shared" si="97"/>
        <v>45291</v>
      </c>
      <c r="I135" s="74">
        <f t="shared" si="97"/>
        <v>45657</v>
      </c>
      <c r="J135" s="74">
        <f t="shared" si="97"/>
        <v>46022</v>
      </c>
      <c r="K135" s="74">
        <f t="shared" si="97"/>
        <v>46387</v>
      </c>
      <c r="L135" s="74">
        <f t="shared" si="97"/>
        <v>46752</v>
      </c>
      <c r="M135" s="74">
        <f t="shared" si="97"/>
        <v>47118</v>
      </c>
      <c r="N135" s="74">
        <f t="shared" si="97"/>
        <v>47483</v>
      </c>
      <c r="O135" s="74">
        <f t="shared" si="97"/>
        <v>47848</v>
      </c>
      <c r="S135" s="80"/>
      <c r="T135" s="80"/>
    </row>
    <row r="136" spans="2:21">
      <c r="B136" s="55"/>
      <c r="S136" s="80"/>
      <c r="T136" s="80"/>
    </row>
    <row r="137" spans="2:21">
      <c r="B137" s="126" t="s">
        <v>242</v>
      </c>
      <c r="S137" s="80"/>
      <c r="T137" s="80"/>
      <c r="U137" s="80"/>
    </row>
    <row r="138" spans="2:21">
      <c r="B138" s="66" t="s">
        <v>282</v>
      </c>
      <c r="F138" s="105">
        <f t="shared" ref="F138:O138" si="98">E39</f>
        <v>19622</v>
      </c>
      <c r="G138" s="105">
        <f t="shared" ca="1" si="98"/>
        <v>25502.144073329124</v>
      </c>
      <c r="H138" s="105">
        <f t="shared" ca="1" si="98"/>
        <v>33491.133860727488</v>
      </c>
      <c r="I138" s="105">
        <f t="shared" ca="1" si="98"/>
        <v>46530.390018841557</v>
      </c>
      <c r="J138" s="105">
        <f t="shared" ca="1" si="98"/>
        <v>66317.913178101822</v>
      </c>
      <c r="K138" s="105">
        <f t="shared" ca="1" si="98"/>
        <v>96656.602141664465</v>
      </c>
      <c r="L138" s="105">
        <f t="shared" ca="1" si="98"/>
        <v>142718.18850099365</v>
      </c>
      <c r="M138" s="105">
        <f t="shared" ca="1" si="98"/>
        <v>213859.14216055884</v>
      </c>
      <c r="N138" s="105">
        <f t="shared" ca="1" si="98"/>
        <v>325015.40748604218</v>
      </c>
      <c r="O138" s="105">
        <f t="shared" ca="1" si="98"/>
        <v>502041.57688382035</v>
      </c>
      <c r="S138" s="80"/>
      <c r="T138" s="80"/>
    </row>
    <row r="139" spans="2:21">
      <c r="B139" s="66" t="s">
        <v>243</v>
      </c>
      <c r="F139" s="105">
        <f t="shared" ref="F139:O139" ca="1" si="99">-($Q$139*F16)</f>
        <v>-787.77247833918955</v>
      </c>
      <c r="G139" s="105">
        <f t="shared" ca="1" si="99"/>
        <v>-1081.3058572102796</v>
      </c>
      <c r="H139" s="105">
        <f t="shared" ca="1" si="99"/>
        <v>-1579.8954069560677</v>
      </c>
      <c r="I139" s="105">
        <f t="shared" ca="1" si="99"/>
        <v>-2279.3986543939554</v>
      </c>
      <c r="J139" s="105">
        <f t="shared" ca="1" si="99"/>
        <v>-3289.551847514726</v>
      </c>
      <c r="K139" s="105">
        <f t="shared" ca="1" si="99"/>
        <v>-4778.6190679018191</v>
      </c>
      <c r="L139" s="105">
        <f t="shared" ca="1" si="99"/>
        <v>-7017.0531141615147</v>
      </c>
      <c r="M139" s="105">
        <f t="shared" ca="1" si="99"/>
        <v>-10425.375498217156</v>
      </c>
      <c r="N139" s="105">
        <f t="shared" ca="1" si="99"/>
        <v>-15738.688955626418</v>
      </c>
      <c r="O139" s="105">
        <f t="shared" ca="1" si="99"/>
        <v>-24197.337719432664</v>
      </c>
      <c r="Q139" s="240">
        <v>0.02</v>
      </c>
      <c r="S139" s="80"/>
      <c r="T139" s="80"/>
    </row>
    <row r="140" spans="2:21">
      <c r="B140" s="86" t="s">
        <v>244</v>
      </c>
      <c r="C140" s="87"/>
      <c r="D140" s="87"/>
      <c r="E140" s="87"/>
      <c r="F140" s="119">
        <f t="shared" ref="F140:O140" ca="1" si="100">SUM(F76,F79,F81:F83)</f>
        <v>5880.144073329122</v>
      </c>
      <c r="G140" s="119">
        <f t="shared" ca="1" si="100"/>
        <v>7988.9897873983664</v>
      </c>
      <c r="H140" s="119">
        <f t="shared" ca="1" si="100"/>
        <v>13039.256158114073</v>
      </c>
      <c r="I140" s="119">
        <f t="shared" ca="1" si="100"/>
        <v>19787.523159260258</v>
      </c>
      <c r="J140" s="119">
        <f t="shared" ca="1" si="100"/>
        <v>30338.688963562647</v>
      </c>
      <c r="K140" s="119">
        <f t="shared" ca="1" si="100"/>
        <v>46061.586359329172</v>
      </c>
      <c r="L140" s="119">
        <f t="shared" ca="1" si="100"/>
        <v>71140.953659565173</v>
      </c>
      <c r="M140" s="119">
        <f t="shared" ca="1" si="100"/>
        <v>111156.26532548336</v>
      </c>
      <c r="N140" s="119">
        <f t="shared" ca="1" si="100"/>
        <v>177026.16939777817</v>
      </c>
      <c r="O140" s="119">
        <f t="shared" ca="1" si="100"/>
        <v>289183.00426475069</v>
      </c>
    </row>
    <row r="141" spans="2:21">
      <c r="B141" s="79" t="s">
        <v>284</v>
      </c>
      <c r="F141" s="106">
        <f ca="1">SUM(F138:F140)</f>
        <v>24714.371594989934</v>
      </c>
      <c r="G141" s="106">
        <f ca="1">SUM(G138:G140)</f>
        <v>32409.828003517214</v>
      </c>
      <c r="H141" s="106">
        <f ca="1">SUM(H138:H140)</f>
        <v>44950.494611885493</v>
      </c>
      <c r="I141" s="106">
        <f ca="1">SUM(I138:I140)</f>
        <v>64038.514523707861</v>
      </c>
      <c r="J141" s="106">
        <f ca="1">SUM(J138:J140)</f>
        <v>93367.05029414974</v>
      </c>
      <c r="K141" s="106">
        <f t="shared" ref="K141:O141" ca="1" si="101">SUM(K138:K140)</f>
        <v>137939.56943309182</v>
      </c>
      <c r="L141" s="106">
        <f t="shared" ca="1" si="101"/>
        <v>206842.0890463973</v>
      </c>
      <c r="M141" s="106">
        <f t="shared" ca="1" si="101"/>
        <v>314590.03198782506</v>
      </c>
      <c r="N141" s="106">
        <f t="shared" ca="1" si="101"/>
        <v>486302.88792819396</v>
      </c>
      <c r="O141" s="106">
        <f t="shared" ca="1" si="101"/>
        <v>767027.24342913833</v>
      </c>
    </row>
    <row r="143" spans="2:21">
      <c r="B143" s="55" t="s">
        <v>234</v>
      </c>
    </row>
    <row r="144" spans="2:21">
      <c r="B144" s="66" t="s">
        <v>237</v>
      </c>
      <c r="C144" s="80"/>
      <c r="D144" s="80"/>
      <c r="E144" s="80"/>
      <c r="F144" s="105">
        <f>E147</f>
        <v>0</v>
      </c>
      <c r="G144" s="105">
        <f ca="1">F147</f>
        <v>0</v>
      </c>
      <c r="H144" s="105">
        <f ca="1">G147</f>
        <v>0</v>
      </c>
      <c r="I144" s="105">
        <f ca="1">H147</f>
        <v>0</v>
      </c>
      <c r="J144" s="105">
        <f ca="1">I147</f>
        <v>0</v>
      </c>
      <c r="K144" s="105">
        <f t="shared" ref="K144:O144" ca="1" si="102">J147</f>
        <v>0</v>
      </c>
      <c r="L144" s="105">
        <f t="shared" ca="1" si="102"/>
        <v>0</v>
      </c>
      <c r="M144" s="105">
        <f t="shared" ca="1" si="102"/>
        <v>0</v>
      </c>
      <c r="N144" s="105">
        <f t="shared" ca="1" si="102"/>
        <v>0</v>
      </c>
      <c r="O144" s="105">
        <f t="shared" ca="1" si="102"/>
        <v>0</v>
      </c>
      <c r="Q144" s="419"/>
    </row>
    <row r="145" spans="2:23">
      <c r="B145" s="76" t="s">
        <v>245</v>
      </c>
      <c r="C145" s="80"/>
      <c r="D145" s="80"/>
      <c r="E145" s="80"/>
      <c r="F145" s="105">
        <f ca="1">-MIN(F141,F144)</f>
        <v>0</v>
      </c>
      <c r="G145" s="105">
        <f ca="1">-MIN(G141,G144)</f>
        <v>0</v>
      </c>
      <c r="H145" s="105">
        <f ca="1">-MIN(H141,H144)</f>
        <v>0</v>
      </c>
      <c r="I145" s="105">
        <f ca="1">-MIN(I141,I144)</f>
        <v>0</v>
      </c>
      <c r="J145" s="105">
        <f ca="1">-MIN(J141,J144)</f>
        <v>0</v>
      </c>
      <c r="K145" s="105">
        <f t="shared" ref="K145:O145" ca="1" si="103">-MIN(K141,K144)</f>
        <v>0</v>
      </c>
      <c r="L145" s="105">
        <f t="shared" ca="1" si="103"/>
        <v>0</v>
      </c>
      <c r="M145" s="105">
        <f t="shared" ca="1" si="103"/>
        <v>0</v>
      </c>
      <c r="N145" s="105">
        <f t="shared" ca="1" si="103"/>
        <v>0</v>
      </c>
      <c r="O145" s="105">
        <f t="shared" ca="1" si="103"/>
        <v>0</v>
      </c>
      <c r="Q145" s="419"/>
    </row>
    <row r="146" spans="2:23" ht="15" customHeight="1">
      <c r="B146" s="77" t="s">
        <v>246</v>
      </c>
      <c r="C146" s="124"/>
      <c r="D146" s="124"/>
      <c r="E146" s="124"/>
      <c r="F146" s="138">
        <v>0</v>
      </c>
      <c r="G146" s="138">
        <v>0</v>
      </c>
      <c r="H146" s="138">
        <v>0</v>
      </c>
      <c r="I146" s="138">
        <v>0</v>
      </c>
      <c r="J146" s="138">
        <v>0</v>
      </c>
      <c r="K146" s="138">
        <v>0</v>
      </c>
      <c r="L146" s="138">
        <v>0</v>
      </c>
      <c r="M146" s="138">
        <v>0</v>
      </c>
      <c r="N146" s="138">
        <v>0</v>
      </c>
      <c r="O146" s="138">
        <v>0</v>
      </c>
      <c r="Q146" s="419"/>
    </row>
    <row r="147" spans="2:23">
      <c r="B147" s="66" t="s">
        <v>239</v>
      </c>
      <c r="C147" s="119">
        <f>C51</f>
        <v>0</v>
      </c>
      <c r="D147" s="119">
        <f>D51</f>
        <v>0</v>
      </c>
      <c r="E147" s="119">
        <f>E51</f>
        <v>0</v>
      </c>
      <c r="F147" s="139">
        <f ca="1">SUM(F144:F146)</f>
        <v>0</v>
      </c>
      <c r="G147" s="139">
        <f ca="1">SUM(G144:G146)</f>
        <v>0</v>
      </c>
      <c r="H147" s="139">
        <f ca="1">SUM(H144:H146)</f>
        <v>0</v>
      </c>
      <c r="I147" s="139">
        <f ca="1">SUM(I144:I146)</f>
        <v>0</v>
      </c>
      <c r="J147" s="139">
        <f ca="1">SUM(J144:J146)</f>
        <v>0</v>
      </c>
      <c r="K147" s="139">
        <f t="shared" ref="K147:O147" ca="1" si="104">SUM(K144:K146)</f>
        <v>0</v>
      </c>
      <c r="L147" s="139">
        <f t="shared" ca="1" si="104"/>
        <v>0</v>
      </c>
      <c r="M147" s="139">
        <f t="shared" ca="1" si="104"/>
        <v>0</v>
      </c>
      <c r="N147" s="139">
        <f t="shared" ca="1" si="104"/>
        <v>0</v>
      </c>
      <c r="O147" s="139">
        <f t="shared" ca="1" si="104"/>
        <v>0</v>
      </c>
      <c r="Q147" s="419"/>
    </row>
    <row r="148" spans="2:23">
      <c r="C148" s="65"/>
      <c r="D148" s="65"/>
      <c r="E148" s="88"/>
      <c r="F148" s="89"/>
      <c r="G148" s="89"/>
      <c r="H148" s="89"/>
      <c r="I148" s="89"/>
      <c r="J148" s="89"/>
      <c r="K148" s="89"/>
      <c r="L148" s="89"/>
      <c r="M148" s="89"/>
      <c r="N148" s="89"/>
      <c r="O148" s="89"/>
      <c r="W148" s="16"/>
    </row>
    <row r="149" spans="2:23">
      <c r="B149" s="56" t="s">
        <v>321</v>
      </c>
      <c r="C149" s="82"/>
      <c r="D149" s="82"/>
      <c r="E149" s="82"/>
      <c r="F149" s="90"/>
      <c r="G149" s="90"/>
      <c r="H149" s="90"/>
      <c r="I149" s="90"/>
      <c r="J149" s="90"/>
      <c r="K149" s="90"/>
      <c r="L149" s="90"/>
      <c r="M149" s="90"/>
      <c r="N149" s="90"/>
      <c r="O149" s="90"/>
      <c r="V149" s="91"/>
    </row>
    <row r="150" spans="2:23">
      <c r="B150" s="72" t="str">
        <f t="shared" ref="B150:O150" si="105">B13</f>
        <v xml:space="preserve">Fiscal year  </v>
      </c>
      <c r="C150" s="110">
        <f t="shared" si="105"/>
        <v>2018</v>
      </c>
      <c r="D150" s="110">
        <f t="shared" si="105"/>
        <v>2019</v>
      </c>
      <c r="E150" s="110">
        <f t="shared" si="105"/>
        <v>2020</v>
      </c>
      <c r="F150" s="111">
        <f t="shared" si="105"/>
        <v>2021</v>
      </c>
      <c r="G150" s="111">
        <f t="shared" si="105"/>
        <v>2022</v>
      </c>
      <c r="H150" s="111">
        <f t="shared" si="105"/>
        <v>2023</v>
      </c>
      <c r="I150" s="111">
        <f t="shared" si="105"/>
        <v>2024</v>
      </c>
      <c r="J150" s="111">
        <f t="shared" si="105"/>
        <v>2025</v>
      </c>
      <c r="K150" s="111">
        <f t="shared" si="105"/>
        <v>2026</v>
      </c>
      <c r="L150" s="111">
        <f t="shared" si="105"/>
        <v>2027</v>
      </c>
      <c r="M150" s="111">
        <f t="shared" si="105"/>
        <v>2028</v>
      </c>
      <c r="N150" s="111">
        <f t="shared" si="105"/>
        <v>2029</v>
      </c>
      <c r="O150" s="111">
        <f t="shared" si="105"/>
        <v>2030</v>
      </c>
      <c r="V150" s="91"/>
      <c r="W150" s="16"/>
    </row>
    <row r="151" spans="2:23">
      <c r="B151" s="57" t="str">
        <f t="shared" ref="B151:O151" si="106">B14</f>
        <v>Fiscal year end date</v>
      </c>
      <c r="C151" s="74">
        <f t="shared" si="106"/>
        <v>43465</v>
      </c>
      <c r="D151" s="74">
        <f t="shared" si="106"/>
        <v>43830</v>
      </c>
      <c r="E151" s="74">
        <f t="shared" si="106"/>
        <v>44196</v>
      </c>
      <c r="F151" s="74">
        <f t="shared" si="106"/>
        <v>44561</v>
      </c>
      <c r="G151" s="74">
        <f t="shared" si="106"/>
        <v>44926</v>
      </c>
      <c r="H151" s="74">
        <f t="shared" si="106"/>
        <v>45291</v>
      </c>
      <c r="I151" s="74">
        <f t="shared" si="106"/>
        <v>45657</v>
      </c>
      <c r="J151" s="74">
        <f t="shared" si="106"/>
        <v>46022</v>
      </c>
      <c r="K151" s="74">
        <f t="shared" si="106"/>
        <v>46387</v>
      </c>
      <c r="L151" s="74">
        <f t="shared" si="106"/>
        <v>46752</v>
      </c>
      <c r="M151" s="74">
        <f t="shared" si="106"/>
        <v>47118</v>
      </c>
      <c r="N151" s="74">
        <f t="shared" si="106"/>
        <v>47483</v>
      </c>
      <c r="O151" s="74">
        <f t="shared" si="106"/>
        <v>47848</v>
      </c>
      <c r="V151" s="91"/>
    </row>
    <row r="152" spans="2:23">
      <c r="B152" s="66"/>
      <c r="C152" s="65"/>
      <c r="D152" s="65"/>
      <c r="E152" s="65"/>
      <c r="F152" s="92"/>
      <c r="G152" s="92"/>
      <c r="H152" s="92"/>
      <c r="I152" s="92"/>
      <c r="J152" s="92"/>
      <c r="K152" s="92"/>
      <c r="L152" s="92"/>
      <c r="M152" s="92"/>
      <c r="N152" s="92"/>
      <c r="O152" s="92"/>
      <c r="V152" s="91"/>
    </row>
    <row r="153" spans="2:23">
      <c r="B153" s="67" t="s">
        <v>247</v>
      </c>
      <c r="C153" s="105">
        <f>-(C23)</f>
        <v>653</v>
      </c>
      <c r="D153" s="105">
        <f>-(D23)</f>
        <v>725</v>
      </c>
      <c r="E153" s="105">
        <f>-(E23)</f>
        <v>784</v>
      </c>
      <c r="F153" s="105">
        <f ca="1">F158+F163</f>
        <v>749.19987102783648</v>
      </c>
      <c r="G153" s="105">
        <f ca="1">G158+G163</f>
        <v>749.19987102783648</v>
      </c>
      <c r="H153" s="105">
        <f ca="1">H158+H163</f>
        <v>749.19987102783648</v>
      </c>
      <c r="I153" s="105">
        <f ca="1">I158+I163</f>
        <v>749.19987102783648</v>
      </c>
      <c r="J153" s="105">
        <f ca="1">J158+J163</f>
        <v>749.19987102783648</v>
      </c>
      <c r="K153" s="105">
        <f t="shared" ref="K153:O153" ca="1" si="107">K158+K163</f>
        <v>749.19987102783648</v>
      </c>
      <c r="L153" s="105">
        <f t="shared" ca="1" si="107"/>
        <v>749.19987102783648</v>
      </c>
      <c r="M153" s="105">
        <f t="shared" ca="1" si="107"/>
        <v>749.19987102783648</v>
      </c>
      <c r="N153" s="105">
        <f t="shared" ca="1" si="107"/>
        <v>749.19987102783648</v>
      </c>
      <c r="O153" s="105">
        <f t="shared" ca="1" si="107"/>
        <v>749.19987102783648</v>
      </c>
      <c r="Q153" s="419"/>
      <c r="V153" s="16"/>
    </row>
    <row r="154" spans="2:23">
      <c r="B154" s="93"/>
      <c r="Q154" s="419"/>
      <c r="V154" s="16"/>
    </row>
    <row r="155" spans="2:23">
      <c r="B155" s="68" t="s">
        <v>234</v>
      </c>
      <c r="Q155" s="419"/>
      <c r="V155" s="16"/>
    </row>
    <row r="156" spans="2:23">
      <c r="B156" s="66" t="s">
        <v>248</v>
      </c>
      <c r="C156" s="118">
        <f>-(C23/(SUM(C51:C53)))</f>
        <v>4.7223025744865491E-2</v>
      </c>
      <c r="D156" s="118">
        <f>-(D23/(SUM(D51:D53)))</f>
        <v>4.9739297475301869E-2</v>
      </c>
      <c r="E156" s="118">
        <f>-(E23/(SUM(E51:E53)))</f>
        <v>5.8783834445527483E-2</v>
      </c>
      <c r="F156" s="118">
        <f>AVERAGE(C156:E156)</f>
        <v>5.1915385888564945E-2</v>
      </c>
      <c r="G156" s="118">
        <f>F156</f>
        <v>5.1915385888564945E-2</v>
      </c>
      <c r="H156" s="118">
        <f>G156</f>
        <v>5.1915385888564945E-2</v>
      </c>
      <c r="I156" s="118">
        <f>H156</f>
        <v>5.1915385888564945E-2</v>
      </c>
      <c r="J156" s="118">
        <f>I156</f>
        <v>5.1915385888564945E-2</v>
      </c>
      <c r="K156" s="118">
        <f t="shared" ref="K156:O156" si="108">J156</f>
        <v>5.1915385888564945E-2</v>
      </c>
      <c r="L156" s="118">
        <f t="shared" si="108"/>
        <v>5.1915385888564945E-2</v>
      </c>
      <c r="M156" s="118">
        <f t="shared" si="108"/>
        <v>5.1915385888564945E-2</v>
      </c>
      <c r="N156" s="118">
        <f t="shared" si="108"/>
        <v>5.1915385888564945E-2</v>
      </c>
      <c r="O156" s="118">
        <f t="shared" si="108"/>
        <v>5.1915385888564945E-2</v>
      </c>
      <c r="Q156" s="419"/>
    </row>
    <row r="157" spans="2:23">
      <c r="B157" s="66" t="s">
        <v>249</v>
      </c>
      <c r="C157" s="78"/>
      <c r="D157" s="119">
        <f t="shared" ref="D157:O157" si="109">D51</f>
        <v>0</v>
      </c>
      <c r="E157" s="119">
        <f t="shared" si="109"/>
        <v>0</v>
      </c>
      <c r="F157" s="105">
        <f t="shared" ca="1" si="109"/>
        <v>0</v>
      </c>
      <c r="G157" s="105">
        <f t="shared" ca="1" si="109"/>
        <v>0</v>
      </c>
      <c r="H157" s="105">
        <f t="shared" ca="1" si="109"/>
        <v>0</v>
      </c>
      <c r="I157" s="105">
        <f t="shared" ca="1" si="109"/>
        <v>0</v>
      </c>
      <c r="J157" s="105">
        <f t="shared" ca="1" si="109"/>
        <v>0</v>
      </c>
      <c r="K157" s="105">
        <f t="shared" ca="1" si="109"/>
        <v>0</v>
      </c>
      <c r="L157" s="105">
        <f t="shared" ca="1" si="109"/>
        <v>0</v>
      </c>
      <c r="M157" s="105">
        <f t="shared" ca="1" si="109"/>
        <v>0</v>
      </c>
      <c r="N157" s="105">
        <f t="shared" ca="1" si="109"/>
        <v>0</v>
      </c>
      <c r="O157" s="105">
        <f t="shared" ca="1" si="109"/>
        <v>0</v>
      </c>
      <c r="Q157" s="419"/>
    </row>
    <row r="158" spans="2:23">
      <c r="B158" s="94" t="s">
        <v>250</v>
      </c>
      <c r="C158" s="75"/>
      <c r="D158" s="106">
        <f>AVERAGE(C157:D157)*D156</f>
        <v>0</v>
      </c>
      <c r="E158" s="106">
        <f>AVERAGE(D157:E157)*E156</f>
        <v>0</v>
      </c>
      <c r="F158" s="120">
        <f ca="1">IF(FSM!$C$3=1,AVERAGE(E157:F157)*F156,0)</f>
        <v>0</v>
      </c>
      <c r="G158" s="120">
        <f ca="1">IF(FSM!$C$3=1,AVERAGE(F157:G157)*G156,0)</f>
        <v>0</v>
      </c>
      <c r="H158" s="120">
        <f ca="1">IF(FSM!$C$3=1,AVERAGE(G157:H157)*H156,0)</f>
        <v>0</v>
      </c>
      <c r="I158" s="120">
        <f ca="1">IF(FSM!$C$3=1,AVERAGE(H157:I157)*I156,0)</f>
        <v>0</v>
      </c>
      <c r="J158" s="120">
        <f ca="1">IF(FSM!$C$3=1,AVERAGE(I157:J157)*J156,0)</f>
        <v>0</v>
      </c>
      <c r="K158" s="120">
        <f ca="1">IF(FSM!$C$3=1,AVERAGE(J157:K157)*K156,0)</f>
        <v>0</v>
      </c>
      <c r="L158" s="120">
        <f ca="1">IF(FSM!$C$3=1,AVERAGE(K157:L157)*L156,0)</f>
        <v>0</v>
      </c>
      <c r="M158" s="120">
        <f ca="1">IF(FSM!$C$3=1,AVERAGE(L157:M157)*M156,0)</f>
        <v>0</v>
      </c>
      <c r="N158" s="120">
        <f ca="1">IF(FSM!$C$3=1,AVERAGE(M157:N157)*N156,0)</f>
        <v>0</v>
      </c>
      <c r="O158" s="120">
        <f ca="1">IF(FSM!$C$3=1,AVERAGE(N157:O157)*O156,0)</f>
        <v>0</v>
      </c>
      <c r="Q158" s="419"/>
    </row>
    <row r="159" spans="2:23">
      <c r="B159" s="95"/>
      <c r="C159" s="65"/>
      <c r="D159" s="65"/>
      <c r="E159" s="65"/>
      <c r="Q159" s="419"/>
    </row>
    <row r="160" spans="2:23">
      <c r="B160" s="68" t="s">
        <v>412</v>
      </c>
      <c r="C160" s="65"/>
      <c r="D160" s="65"/>
      <c r="E160" s="65"/>
      <c r="Q160" s="419"/>
    </row>
    <row r="161" spans="2:22">
      <c r="B161" s="66" t="s">
        <v>249</v>
      </c>
      <c r="C161" s="63">
        <f t="shared" ref="C161:O161" si="110">C52+C53</f>
        <v>13828</v>
      </c>
      <c r="D161" s="63">
        <f t="shared" si="110"/>
        <v>14576</v>
      </c>
      <c r="E161" s="63">
        <f t="shared" si="110"/>
        <v>13337</v>
      </c>
      <c r="F161" s="63">
        <f t="shared" si="110"/>
        <v>13337</v>
      </c>
      <c r="G161" s="63">
        <f t="shared" si="110"/>
        <v>13337</v>
      </c>
      <c r="H161" s="63">
        <f t="shared" si="110"/>
        <v>13337</v>
      </c>
      <c r="I161" s="63">
        <f t="shared" si="110"/>
        <v>13337</v>
      </c>
      <c r="J161" s="63">
        <f t="shared" si="110"/>
        <v>13337</v>
      </c>
      <c r="K161" s="63">
        <f t="shared" si="110"/>
        <v>13337</v>
      </c>
      <c r="L161" s="63">
        <f t="shared" si="110"/>
        <v>13337</v>
      </c>
      <c r="M161" s="63">
        <f t="shared" si="110"/>
        <v>13337</v>
      </c>
      <c r="N161" s="63">
        <f t="shared" si="110"/>
        <v>13337</v>
      </c>
      <c r="O161" s="63">
        <f t="shared" si="110"/>
        <v>13337</v>
      </c>
      <c r="Q161" s="419"/>
    </row>
    <row r="162" spans="2:22">
      <c r="B162" s="66" t="s">
        <v>248</v>
      </c>
      <c r="C162" s="84"/>
      <c r="D162" s="118">
        <f>D163/AVERAGE(C161:D161)</f>
        <v>5.1049148007322916E-2</v>
      </c>
      <c r="E162" s="118">
        <f>E163/AVERAGE(D161:E161)</f>
        <v>5.6174542327947552E-2</v>
      </c>
      <c r="F162" s="118">
        <f>E162</f>
        <v>5.6174542327947552E-2</v>
      </c>
      <c r="G162" s="118">
        <f>F162</f>
        <v>5.6174542327947552E-2</v>
      </c>
      <c r="H162" s="118">
        <f>G162</f>
        <v>5.6174542327947552E-2</v>
      </c>
      <c r="I162" s="118">
        <f>H162</f>
        <v>5.6174542327947552E-2</v>
      </c>
      <c r="J162" s="118">
        <f>I162</f>
        <v>5.6174542327947552E-2</v>
      </c>
      <c r="K162" s="118">
        <f t="shared" ref="K162:O162" si="111">J162</f>
        <v>5.6174542327947552E-2</v>
      </c>
      <c r="L162" s="118">
        <f t="shared" si="111"/>
        <v>5.6174542327947552E-2</v>
      </c>
      <c r="M162" s="118">
        <f t="shared" si="111"/>
        <v>5.6174542327947552E-2</v>
      </c>
      <c r="N162" s="118">
        <f t="shared" si="111"/>
        <v>5.6174542327947552E-2</v>
      </c>
      <c r="O162" s="118">
        <f t="shared" si="111"/>
        <v>5.6174542327947552E-2</v>
      </c>
      <c r="Q162" s="419"/>
      <c r="V162" s="91"/>
    </row>
    <row r="163" spans="2:22">
      <c r="B163" s="79" t="s">
        <v>251</v>
      </c>
      <c r="C163" s="64">
        <f>C153-C158</f>
        <v>653</v>
      </c>
      <c r="D163" s="64">
        <f>D153-D158</f>
        <v>725</v>
      </c>
      <c r="E163" s="64">
        <f>E153-E158</f>
        <v>784</v>
      </c>
      <c r="F163" s="64">
        <f>F162*AVERAGE(E161:F161)</f>
        <v>749.19987102783648</v>
      </c>
      <c r="G163" s="64">
        <f>G162*AVERAGE(F161:G161)</f>
        <v>749.19987102783648</v>
      </c>
      <c r="H163" s="64">
        <f>H162*AVERAGE(G161:H161)</f>
        <v>749.19987102783648</v>
      </c>
      <c r="I163" s="64">
        <f>I162*AVERAGE(H161:I161)</f>
        <v>749.19987102783648</v>
      </c>
      <c r="J163" s="64">
        <f>J162*AVERAGE(I161:J161)</f>
        <v>749.19987102783648</v>
      </c>
      <c r="K163" s="64">
        <f t="shared" ref="K163:O163" si="112">K162*AVERAGE(J161:K161)</f>
        <v>749.19987102783648</v>
      </c>
      <c r="L163" s="64">
        <f t="shared" si="112"/>
        <v>749.19987102783648</v>
      </c>
      <c r="M163" s="64">
        <f t="shared" si="112"/>
        <v>749.19987102783648</v>
      </c>
      <c r="N163" s="64">
        <f t="shared" si="112"/>
        <v>749.19987102783648</v>
      </c>
      <c r="O163" s="64">
        <f t="shared" si="112"/>
        <v>749.19987102783648</v>
      </c>
      <c r="Q163" s="419"/>
    </row>
    <row r="164" spans="2:22">
      <c r="C164" s="65"/>
      <c r="D164" s="65"/>
      <c r="Q164" s="419"/>
    </row>
    <row r="165" spans="2:22">
      <c r="B165" s="93" t="s">
        <v>252</v>
      </c>
      <c r="C165" s="65"/>
      <c r="D165" s="65"/>
      <c r="E165" s="65"/>
    </row>
    <row r="166" spans="2:22" ht="15" customHeight="1">
      <c r="B166" s="66" t="s">
        <v>253</v>
      </c>
      <c r="C166" s="118">
        <f>C22/C39</f>
        <v>6.1680801850424053E-3</v>
      </c>
      <c r="D166" s="118">
        <f>D22/D39</f>
        <v>6.7536454336147352E-3</v>
      </c>
      <c r="E166" s="118">
        <f>E22/E39</f>
        <v>1.528896136989094E-3</v>
      </c>
      <c r="F166" s="118">
        <f>AVERAGE(C166:E166)</f>
        <v>4.816873918548745E-3</v>
      </c>
      <c r="G166" s="118">
        <f>F166</f>
        <v>4.816873918548745E-3</v>
      </c>
      <c r="H166" s="118">
        <f>G166</f>
        <v>4.816873918548745E-3</v>
      </c>
      <c r="I166" s="118">
        <f>H166</f>
        <v>4.816873918548745E-3</v>
      </c>
      <c r="J166" s="118">
        <f>I166</f>
        <v>4.816873918548745E-3</v>
      </c>
      <c r="K166" s="118">
        <f t="shared" ref="K166:O166" si="113">J166</f>
        <v>4.816873918548745E-3</v>
      </c>
      <c r="L166" s="118">
        <f t="shared" si="113"/>
        <v>4.816873918548745E-3</v>
      </c>
      <c r="M166" s="118">
        <f t="shared" si="113"/>
        <v>4.816873918548745E-3</v>
      </c>
      <c r="N166" s="118">
        <f t="shared" si="113"/>
        <v>4.816873918548745E-3</v>
      </c>
      <c r="O166" s="118">
        <f t="shared" si="113"/>
        <v>4.816873918548745E-3</v>
      </c>
      <c r="Q166" s="419"/>
    </row>
    <row r="167" spans="2:22" ht="15" customHeight="1">
      <c r="B167" s="66" t="s">
        <v>199</v>
      </c>
      <c r="C167" s="63">
        <f>C22</f>
        <v>24</v>
      </c>
      <c r="D167" s="63">
        <f>D22</f>
        <v>44</v>
      </c>
      <c r="E167" s="63">
        <f>E22</f>
        <v>30</v>
      </c>
      <c r="F167" s="63">
        <f ca="1">IF(FSM!$C$3=1,AVERAGE(E39,F39)*F166,0)</f>
        <v>108.67865634182749</v>
      </c>
      <c r="G167" s="63">
        <f ca="1">IF(FSM!$C$3=1,AVERAGE(F39,G39)*G166,0)</f>
        <v>142.08159092512724</v>
      </c>
      <c r="H167" s="63">
        <f ca="1">IF(FSM!$C$3=1,AVERAGE(G39,H39)*H166,0)</f>
        <v>192.72679564901088</v>
      </c>
      <c r="I167" s="63">
        <f ca="1">IF(FSM!$C$3=1,AVERAGE(H39,I39)*I166,0)</f>
        <v>271.78802421091876</v>
      </c>
      <c r="J167" s="63">
        <f ca="1">IF(FSM!$C$3=1,AVERAGE(I39,J39)*J166,0)</f>
        <v>392.51384611595262</v>
      </c>
      <c r="K167" s="63">
        <f ca="1">IF(FSM!$C$3=1,AVERAGE(J39,K39)*K166,0)</f>
        <v>576.51909290234312</v>
      </c>
      <c r="L167" s="63">
        <f ca="1">IF(FSM!$C$3=1,AVERAGE(K39,L39)*L166,0)</f>
        <v>858.79402200468201</v>
      </c>
      <c r="M167" s="63">
        <f ca="1">IF(FSM!$C$3=1,AVERAGE(L39,M39)*M166,0)</f>
        <v>1297.8453817812067</v>
      </c>
      <c r="N167" s="63">
        <f ca="1">IF(FSM!$C$3=1,AVERAGE(M39,N39)*N166,0)</f>
        <v>1991.9146085823841</v>
      </c>
      <c r="O167" s="63">
        <f ca="1">IF(FSM!$C$3=1,AVERAGE(N39,O39)*O166,0)</f>
        <v>3114.7500131839829</v>
      </c>
      <c r="Q167" s="419"/>
    </row>
    <row r="168" spans="2:22" s="152" customFormat="1" ht="15" customHeight="1">
      <c r="B168" s="66"/>
      <c r="C168" s="63"/>
      <c r="D168" s="63"/>
      <c r="E168" s="63"/>
      <c r="F168" s="63"/>
      <c r="G168" s="63"/>
      <c r="H168" s="63"/>
      <c r="I168" s="63"/>
      <c r="J168" s="63"/>
      <c r="K168" s="63"/>
      <c r="L168" s="63"/>
      <c r="M168" s="63"/>
      <c r="N168" s="63"/>
      <c r="O168" s="63"/>
      <c r="Q168" s="419"/>
    </row>
    <row r="169" spans="2:22" hidden="1">
      <c r="B169" s="56" t="s">
        <v>322</v>
      </c>
      <c r="C169" s="56"/>
      <c r="D169" s="56"/>
      <c r="E169" s="56"/>
      <c r="F169" s="56"/>
      <c r="G169" s="56"/>
      <c r="H169" s="56"/>
      <c r="I169" s="56"/>
      <c r="J169" s="56"/>
      <c r="K169" s="56"/>
      <c r="L169" s="56"/>
      <c r="M169" s="56"/>
      <c r="N169" s="56"/>
      <c r="O169" s="56"/>
    </row>
    <row r="170" spans="2:22" hidden="1">
      <c r="B170" s="72" t="str">
        <f t="shared" ref="B170:O170" si="114">B13</f>
        <v xml:space="preserve">Fiscal year  </v>
      </c>
      <c r="C170" s="110">
        <f t="shared" si="114"/>
        <v>2018</v>
      </c>
      <c r="D170" s="110">
        <f t="shared" si="114"/>
        <v>2019</v>
      </c>
      <c r="E170" s="110">
        <f t="shared" si="114"/>
        <v>2020</v>
      </c>
      <c r="F170" s="111">
        <f t="shared" si="114"/>
        <v>2021</v>
      </c>
      <c r="G170" s="111">
        <f t="shared" si="114"/>
        <v>2022</v>
      </c>
      <c r="H170" s="111">
        <f t="shared" si="114"/>
        <v>2023</v>
      </c>
      <c r="I170" s="111">
        <f t="shared" si="114"/>
        <v>2024</v>
      </c>
      <c r="J170" s="111">
        <f t="shared" si="114"/>
        <v>2025</v>
      </c>
      <c r="K170" s="111">
        <f t="shared" si="114"/>
        <v>2026</v>
      </c>
      <c r="L170" s="111">
        <f t="shared" si="114"/>
        <v>2027</v>
      </c>
      <c r="M170" s="111">
        <f t="shared" si="114"/>
        <v>2028</v>
      </c>
      <c r="N170" s="111">
        <f t="shared" si="114"/>
        <v>2029</v>
      </c>
      <c r="O170" s="111">
        <f t="shared" si="114"/>
        <v>2030</v>
      </c>
    </row>
    <row r="171" spans="2:22" hidden="1">
      <c r="B171" s="57" t="str">
        <f t="shared" ref="B171:O171" si="115">B14</f>
        <v>Fiscal year end date</v>
      </c>
      <c r="C171" s="74">
        <f t="shared" si="115"/>
        <v>43465</v>
      </c>
      <c r="D171" s="74">
        <f t="shared" si="115"/>
        <v>43830</v>
      </c>
      <c r="E171" s="74">
        <f t="shared" si="115"/>
        <v>44196</v>
      </c>
      <c r="F171" s="74">
        <f t="shared" si="115"/>
        <v>44561</v>
      </c>
      <c r="G171" s="74">
        <f t="shared" si="115"/>
        <v>44926</v>
      </c>
      <c r="H171" s="74">
        <f t="shared" si="115"/>
        <v>45291</v>
      </c>
      <c r="I171" s="74">
        <f t="shared" si="115"/>
        <v>45657</v>
      </c>
      <c r="J171" s="74">
        <f t="shared" si="115"/>
        <v>46022</v>
      </c>
      <c r="K171" s="74">
        <f t="shared" si="115"/>
        <v>46387</v>
      </c>
      <c r="L171" s="74">
        <f t="shared" si="115"/>
        <v>46752</v>
      </c>
      <c r="M171" s="74">
        <f t="shared" si="115"/>
        <v>47118</v>
      </c>
      <c r="N171" s="74">
        <f t="shared" si="115"/>
        <v>47483</v>
      </c>
      <c r="O171" s="74">
        <f t="shared" si="115"/>
        <v>47848</v>
      </c>
    </row>
    <row r="172" spans="2:22" hidden="1">
      <c r="C172" s="127"/>
      <c r="D172" s="127"/>
      <c r="E172" s="127"/>
      <c r="F172" s="241"/>
      <c r="G172" s="241"/>
      <c r="H172" s="241"/>
      <c r="I172" s="242"/>
      <c r="J172" s="242"/>
      <c r="K172" s="242"/>
      <c r="L172" s="242"/>
      <c r="M172" s="242"/>
      <c r="N172" s="242"/>
      <c r="O172" s="242"/>
    </row>
    <row r="173" spans="2:22" hidden="1">
      <c r="B173" s="51" t="s">
        <v>204</v>
      </c>
      <c r="C173" s="129">
        <f t="shared" ref="C173:O173" si="116">C29</f>
        <v>-976</v>
      </c>
      <c r="D173" s="129">
        <f t="shared" si="116"/>
        <v>-862</v>
      </c>
      <c r="E173" s="129">
        <f t="shared" si="116"/>
        <v>721</v>
      </c>
      <c r="F173" s="129">
        <f t="shared" ca="1" si="116"/>
        <v>2509.2584918865682</v>
      </c>
      <c r="G173" s="129">
        <f t="shared" ca="1" si="116"/>
        <v>4568.9800933679498</v>
      </c>
      <c r="H173" s="129">
        <f t="shared" ca="1" si="116"/>
        <v>9200.6988082262524</v>
      </c>
      <c r="I173" s="129">
        <f t="shared" ca="1" si="116"/>
        <v>15945.607612089161</v>
      </c>
      <c r="J173" s="129">
        <f t="shared" ca="1" si="116"/>
        <v>26126.513659194432</v>
      </c>
      <c r="K173" s="129">
        <f t="shared" ca="1" si="116"/>
        <v>40841.353599058333</v>
      </c>
      <c r="L173" s="129">
        <f t="shared" ca="1" si="116"/>
        <v>63735.777704747481</v>
      </c>
      <c r="M173" s="129">
        <f t="shared" ca="1" si="116"/>
        <v>99650.448201244362</v>
      </c>
      <c r="N173" s="129">
        <f t="shared" ca="1" si="116"/>
        <v>157546.94135131576</v>
      </c>
      <c r="O173" s="129">
        <f t="shared" ca="1" si="116"/>
        <v>253160.27766135204</v>
      </c>
      <c r="Q173" s="467"/>
    </row>
    <row r="174" spans="2:22" hidden="1">
      <c r="B174" s="51" t="s">
        <v>255</v>
      </c>
      <c r="C174" s="128">
        <f>IS!J44</f>
        <v>853</v>
      </c>
      <c r="D174" s="128">
        <f>IS!K44</f>
        <v>887</v>
      </c>
      <c r="E174" s="128">
        <f>IS!L44</f>
        <v>933</v>
      </c>
      <c r="F174" s="129">
        <f>E174+(F181-F180)/F182</f>
        <v>937.28124540616818</v>
      </c>
      <c r="G174" s="129">
        <f t="shared" ref="G174:O174" si="117">F174+(G181-G180)/G182</f>
        <v>941.00406749848844</v>
      </c>
      <c r="H174" s="129">
        <f t="shared" si="117"/>
        <v>944.241304100506</v>
      </c>
      <c r="I174" s="129">
        <f t="shared" si="117"/>
        <v>947.05629245008652</v>
      </c>
      <c r="J174" s="129">
        <f t="shared" si="117"/>
        <v>949.50410840624352</v>
      </c>
      <c r="K174" s="129">
        <f t="shared" si="117"/>
        <v>951.63264402029301</v>
      </c>
      <c r="L174" s="129">
        <f t="shared" si="117"/>
        <v>953.48354455424908</v>
      </c>
      <c r="M174" s="129">
        <f t="shared" si="117"/>
        <v>955.09302327942828</v>
      </c>
      <c r="N174" s="129">
        <f t="shared" si="117"/>
        <v>956.49256999697548</v>
      </c>
      <c r="O174" s="129">
        <f t="shared" si="117"/>
        <v>957.70956714266867</v>
      </c>
      <c r="Q174" s="467"/>
    </row>
    <row r="175" spans="2:22" hidden="1">
      <c r="B175" s="55" t="s">
        <v>37</v>
      </c>
      <c r="C175" s="246">
        <f>IS!J46</f>
        <v>-1.1399999999999999</v>
      </c>
      <c r="D175" s="246">
        <f>IS!K46</f>
        <v>-0.98</v>
      </c>
      <c r="E175" s="246">
        <f>IS!L46</f>
        <v>0.74</v>
      </c>
      <c r="F175" s="244">
        <f t="shared" ref="F175:J175" ca="1" si="118">F173/F174</f>
        <v>2.6771670767819407</v>
      </c>
      <c r="G175" s="244">
        <f t="shared" ca="1" si="118"/>
        <v>4.8554307586723464</v>
      </c>
      <c r="H175" s="244">
        <f t="shared" ca="1" si="118"/>
        <v>9.7440122225864005</v>
      </c>
      <c r="I175" s="244">
        <f t="shared" ca="1" si="118"/>
        <v>16.837021979799111</v>
      </c>
      <c r="J175" s="244">
        <f t="shared" ca="1" si="118"/>
        <v>27.515956411234665</v>
      </c>
      <c r="K175" s="244">
        <f t="shared" ref="K175:O175" ca="1" si="119">K173/K174</f>
        <v>42.917142298228491</v>
      </c>
      <c r="L175" s="244">
        <f t="shared" ca="1" si="119"/>
        <v>66.845178470850044</v>
      </c>
      <c r="M175" s="244">
        <f t="shared" ca="1" si="119"/>
        <v>104.33585606047295</v>
      </c>
      <c r="N175" s="244">
        <f t="shared" ca="1" si="119"/>
        <v>164.7131888874097</v>
      </c>
      <c r="O175" s="244">
        <f t="shared" ca="1" si="119"/>
        <v>264.33930112722692</v>
      </c>
      <c r="Q175" s="467"/>
    </row>
    <row r="176" spans="2:22" hidden="1">
      <c r="C176" s="243"/>
      <c r="D176" s="243"/>
      <c r="E176" s="243"/>
      <c r="F176" s="245"/>
      <c r="G176" s="127"/>
      <c r="H176" s="127"/>
      <c r="I176" s="127"/>
      <c r="J176" s="127"/>
      <c r="K176" s="127"/>
      <c r="L176" s="127"/>
      <c r="M176" s="127"/>
      <c r="N176" s="127"/>
      <c r="O176" s="127"/>
      <c r="Q176" s="467"/>
    </row>
    <row r="177" spans="2:17" ht="15" hidden="1" customHeight="1">
      <c r="B177" s="51" t="s">
        <v>256</v>
      </c>
      <c r="C177" s="114">
        <f>IS!J42</f>
        <v>853</v>
      </c>
      <c r="D177" s="114">
        <f>IS!K42</f>
        <v>887</v>
      </c>
      <c r="E177" s="114">
        <f>IS!L42</f>
        <v>1083</v>
      </c>
      <c r="F177" s="115">
        <f>F174+E177-E174</f>
        <v>1087.2812454061682</v>
      </c>
      <c r="G177" s="115">
        <f t="shared" ref="G177:O177" si="120">G174+F177-F174</f>
        <v>1091.0040674984884</v>
      </c>
      <c r="H177" s="115">
        <f t="shared" si="120"/>
        <v>1094.2413041005061</v>
      </c>
      <c r="I177" s="115">
        <f t="shared" si="120"/>
        <v>1097.0562924500864</v>
      </c>
      <c r="J177" s="115">
        <f t="shared" si="120"/>
        <v>1099.5041084062436</v>
      </c>
      <c r="K177" s="115">
        <f t="shared" si="120"/>
        <v>1101.6326440202929</v>
      </c>
      <c r="L177" s="115">
        <f t="shared" si="120"/>
        <v>1103.483544554249</v>
      </c>
      <c r="M177" s="115">
        <f t="shared" si="120"/>
        <v>1105.0930232794285</v>
      </c>
      <c r="N177" s="115">
        <f t="shared" si="120"/>
        <v>1106.4925699969756</v>
      </c>
      <c r="O177" s="115">
        <f t="shared" si="120"/>
        <v>1107.7095671426687</v>
      </c>
      <c r="Q177" s="51" t="s">
        <v>413</v>
      </c>
    </row>
    <row r="178" spans="2:17" hidden="1">
      <c r="B178" s="55" t="s">
        <v>257</v>
      </c>
      <c r="C178" s="246">
        <f>IS!J40</f>
        <v>-1.1399999999999999</v>
      </c>
      <c r="D178" s="246">
        <f>IS!K40</f>
        <v>-0.98</v>
      </c>
      <c r="E178" s="246">
        <f>IS!L40</f>
        <v>0.64</v>
      </c>
      <c r="F178" s="244">
        <f t="shared" ref="F178:J178" ca="1" si="121">F173/F177</f>
        <v>2.307828358567154</v>
      </c>
      <c r="G178" s="244">
        <f t="shared" ca="1" si="121"/>
        <v>4.1878671486935408</v>
      </c>
      <c r="H178" s="244">
        <f t="shared" ca="1" si="121"/>
        <v>8.4082905422670535</v>
      </c>
      <c r="I178" s="244">
        <f t="shared" ca="1" si="121"/>
        <v>14.534903743615008</v>
      </c>
      <c r="J178" s="244">
        <f t="shared" ca="1" si="121"/>
        <v>23.762088253645011</v>
      </c>
      <c r="K178" s="244">
        <f t="shared" ref="K178:O178" ca="1" si="122">K173/K177</f>
        <v>37.073478006254511</v>
      </c>
      <c r="L178" s="244">
        <f t="shared" ca="1" si="122"/>
        <v>57.758702446707971</v>
      </c>
      <c r="M178" s="244">
        <f t="shared" ca="1" si="122"/>
        <v>90.173809898397337</v>
      </c>
      <c r="N178" s="244">
        <f t="shared" ca="1" si="122"/>
        <v>142.384093326308</v>
      </c>
      <c r="O178" s="244">
        <f t="shared" ca="1" si="122"/>
        <v>228.54391184358704</v>
      </c>
    </row>
    <row r="179" spans="2:17" ht="15" hidden="1" customHeight="1">
      <c r="C179" s="127"/>
      <c r="D179" s="127"/>
      <c r="E179" s="127"/>
      <c r="F179" s="469"/>
      <c r="G179" s="102"/>
      <c r="H179" s="102"/>
      <c r="I179" s="102"/>
      <c r="J179" s="102"/>
      <c r="K179" s="102"/>
      <c r="L179" s="102"/>
      <c r="M179" s="102"/>
      <c r="N179" s="102"/>
      <c r="O179" s="102"/>
      <c r="P179" s="102"/>
      <c r="Q179" s="102"/>
    </row>
    <row r="180" spans="2:17" ht="15" hidden="1" customHeight="1">
      <c r="B180" s="51" t="s">
        <v>258</v>
      </c>
      <c r="C180" s="127"/>
      <c r="D180" s="127"/>
      <c r="E180" s="127"/>
      <c r="F180" s="343">
        <v>0</v>
      </c>
      <c r="G180" s="343">
        <v>0</v>
      </c>
      <c r="H180" s="343">
        <v>0</v>
      </c>
      <c r="I180" s="343">
        <v>0</v>
      </c>
      <c r="J180" s="343">
        <v>0</v>
      </c>
      <c r="K180" s="343">
        <v>0</v>
      </c>
      <c r="L180" s="343">
        <v>0</v>
      </c>
      <c r="M180" s="343">
        <v>0</v>
      </c>
      <c r="N180" s="343">
        <v>0</v>
      </c>
      <c r="O180" s="343">
        <v>0</v>
      </c>
      <c r="P180" s="102"/>
      <c r="Q180" s="467"/>
    </row>
    <row r="181" spans="2:17" ht="15" hidden="1" customHeight="1">
      <c r="B181" s="51" t="s">
        <v>259</v>
      </c>
      <c r="C181" s="127"/>
      <c r="D181" s="127"/>
      <c r="E181" s="127"/>
      <c r="F181" s="115">
        <f t="shared" ref="F181:O181" si="123">F83</f>
        <v>2912.36</v>
      </c>
      <c r="G181" s="115">
        <f t="shared" si="123"/>
        <v>2912.36</v>
      </c>
      <c r="H181" s="115">
        <f t="shared" si="123"/>
        <v>2912.36</v>
      </c>
      <c r="I181" s="115">
        <f t="shared" si="123"/>
        <v>2912.36</v>
      </c>
      <c r="J181" s="115">
        <f t="shared" si="123"/>
        <v>2912.36</v>
      </c>
      <c r="K181" s="115">
        <f t="shared" si="123"/>
        <v>2912.36</v>
      </c>
      <c r="L181" s="115">
        <f t="shared" si="123"/>
        <v>2912.36</v>
      </c>
      <c r="M181" s="115">
        <f t="shared" si="123"/>
        <v>2912.36</v>
      </c>
      <c r="N181" s="115">
        <f t="shared" si="123"/>
        <v>2912.36</v>
      </c>
      <c r="O181" s="115">
        <f t="shared" si="123"/>
        <v>2912.36</v>
      </c>
      <c r="P181" s="102"/>
      <c r="Q181" s="467"/>
    </row>
    <row r="182" spans="2:17" s="472" customFormat="1" ht="15" hidden="1" customHeight="1">
      <c r="B182" s="472" t="s">
        <v>260</v>
      </c>
      <c r="C182" s="473"/>
      <c r="D182" s="473"/>
      <c r="E182" s="473"/>
      <c r="F182" s="471">
        <f>Valuation!C5</f>
        <v>680.26</v>
      </c>
      <c r="G182" s="466">
        <f t="shared" ref="G182:O182" si="124">F182*(1+G183)</f>
        <v>782.29899999999998</v>
      </c>
      <c r="H182" s="466">
        <f t="shared" si="124"/>
        <v>899.64384999999993</v>
      </c>
      <c r="I182" s="466">
        <f t="shared" si="124"/>
        <v>1034.5904274999998</v>
      </c>
      <c r="J182" s="466">
        <f t="shared" si="124"/>
        <v>1189.7789916249997</v>
      </c>
      <c r="K182" s="466">
        <f t="shared" si="124"/>
        <v>1368.2458403687494</v>
      </c>
      <c r="L182" s="466">
        <f t="shared" si="124"/>
        <v>1573.4827164240617</v>
      </c>
      <c r="M182" s="466">
        <f t="shared" si="124"/>
        <v>1809.5051238876708</v>
      </c>
      <c r="N182" s="466">
        <f t="shared" si="124"/>
        <v>2080.9308924708212</v>
      </c>
      <c r="O182" s="466">
        <f t="shared" si="124"/>
        <v>2393.0705263414443</v>
      </c>
      <c r="P182" s="466"/>
      <c r="Q182" s="467"/>
    </row>
    <row r="183" spans="2:17" ht="15" hidden="1" customHeight="1">
      <c r="B183" s="51" t="s">
        <v>261</v>
      </c>
      <c r="C183" s="127"/>
      <c r="D183" s="127"/>
      <c r="E183" s="127"/>
      <c r="F183" s="102"/>
      <c r="G183" s="470">
        <v>0.15</v>
      </c>
      <c r="H183" s="470">
        <v>0.15</v>
      </c>
      <c r="I183" s="470">
        <v>0.15</v>
      </c>
      <c r="J183" s="470">
        <v>0.15</v>
      </c>
      <c r="K183" s="470">
        <v>0.15</v>
      </c>
      <c r="L183" s="470">
        <v>0.15</v>
      </c>
      <c r="M183" s="470">
        <v>0.15</v>
      </c>
      <c r="N183" s="470">
        <v>0.15</v>
      </c>
      <c r="O183" s="470">
        <v>0.15</v>
      </c>
      <c r="P183" s="102"/>
      <c r="Q183" s="467"/>
    </row>
    <row r="184" spans="2:17" customFormat="1">
      <c r="Q184" s="467"/>
    </row>
    <row r="185" spans="2:17" customFormat="1"/>
    <row r="186" spans="2:17" customFormat="1"/>
    <row r="187" spans="2:17" customFormat="1"/>
    <row r="188" spans="2:17" customFormat="1"/>
    <row r="189" spans="2:17" customFormat="1"/>
    <row r="190" spans="2:17" customFormat="1"/>
    <row r="191" spans="2:17" customFormat="1"/>
    <row r="192" spans="2:17">
      <c r="C192" s="127"/>
      <c r="D192" s="127"/>
      <c r="E192" s="127"/>
      <c r="F192" s="127"/>
      <c r="G192" s="127"/>
      <c r="H192" s="127"/>
      <c r="I192" s="127"/>
      <c r="J192" s="127"/>
      <c r="K192" s="127"/>
      <c r="L192" s="127"/>
      <c r="M192" s="127"/>
      <c r="N192" s="127"/>
      <c r="O192" s="127"/>
    </row>
    <row r="194" spans="6:6">
      <c r="F194" s="98"/>
    </row>
  </sheetData>
  <conditionalFormatting sqref="B9">
    <cfRule type="expression" dxfId="3" priority="6">
      <formula>#REF!=$B9</formula>
    </cfRule>
  </conditionalFormatting>
  <conditionalFormatting sqref="D63:O63">
    <cfRule type="cellIs" dxfId="2" priority="2" operator="greaterThan">
      <formula>0</formula>
    </cfRule>
  </conditionalFormatting>
  <conditionalFormatting sqref="C63">
    <cfRule type="cellIs" dxfId="1" priority="3" operator="greaterThan">
      <formula>0</formula>
    </cfRule>
  </conditionalFormatting>
  <conditionalFormatting sqref="C63:O63">
    <cfRule type="cellIs" dxfId="0" priority="1" operator="equal">
      <formula>0</formula>
    </cfRule>
  </conditionalFormatting>
  <dataValidations count="3">
    <dataValidation type="list" allowBlank="1" showInputMessage="1" showErrorMessage="1" sqref="C3" xr:uid="{1E2C8726-16D2-492C-BA42-BAA9A1F9D989}">
      <formula1>"0,1"</formula1>
    </dataValidation>
    <dataValidation type="list" allowBlank="1" showInputMessage="1" showErrorMessage="1" sqref="B2" xr:uid="{6A7914A1-77EB-492E-B0C9-5AFFCDF554F6}">
      <formula1>"$ Billions, $ Millions,$ Thousands"</formula1>
    </dataValidation>
    <dataValidation type="list" allowBlank="1" showInputMessage="1" showErrorMessage="1" sqref="F107" xr:uid="{D219C5DC-63BD-4A34-AC1E-11A55D955A93}">
      <formula1>"1,.5,0"</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F9031-02AE-4C55-858D-19B7A0BE25FA}">
  <sheetPr>
    <tabColor theme="3" tint="0.79998168889431442"/>
  </sheetPr>
  <dimension ref="A1:P52"/>
  <sheetViews>
    <sheetView workbookViewId="0">
      <selection sqref="A1:L1"/>
    </sheetView>
  </sheetViews>
  <sheetFormatPr defaultRowHeight="15" outlineLevelRow="1"/>
  <cols>
    <col min="1" max="1" width="57.140625" bestFit="1" customWidth="1"/>
    <col min="2" max="12" width="13.42578125" bestFit="1" customWidth="1"/>
  </cols>
  <sheetData>
    <row r="1" spans="1:15">
      <c r="A1" s="524" t="s">
        <v>285</v>
      </c>
      <c r="B1" s="524"/>
      <c r="C1" s="524"/>
      <c r="D1" s="524"/>
      <c r="E1" s="524"/>
      <c r="F1" s="524"/>
      <c r="G1" s="524"/>
      <c r="H1" s="524"/>
      <c r="I1" s="524"/>
      <c r="J1" s="524"/>
      <c r="K1" s="524"/>
      <c r="L1" s="524"/>
    </row>
    <row r="2" spans="1:15">
      <c r="A2" s="17" t="s">
        <v>0</v>
      </c>
      <c r="B2" s="18">
        <v>40543</v>
      </c>
      <c r="C2" s="18">
        <v>40908</v>
      </c>
      <c r="D2" s="18">
        <v>41274</v>
      </c>
      <c r="E2" s="18">
        <v>41639</v>
      </c>
      <c r="F2" s="18">
        <v>42004</v>
      </c>
      <c r="G2" s="18">
        <v>42369</v>
      </c>
      <c r="H2" s="18">
        <v>42735</v>
      </c>
      <c r="I2" s="18">
        <v>43100</v>
      </c>
      <c r="J2" s="18">
        <v>43465</v>
      </c>
      <c r="K2" s="18">
        <v>43830</v>
      </c>
      <c r="L2" s="18">
        <v>44196</v>
      </c>
    </row>
    <row r="3" spans="1:15">
      <c r="A3" s="1"/>
      <c r="B3" s="1"/>
      <c r="C3" s="1"/>
      <c r="D3" s="1"/>
      <c r="E3" s="1"/>
      <c r="F3" s="1"/>
      <c r="G3" s="1"/>
      <c r="H3" s="1"/>
      <c r="I3" s="1"/>
      <c r="J3" s="1"/>
      <c r="K3" s="1"/>
      <c r="L3" s="1"/>
      <c r="M3" s="152"/>
    </row>
    <row r="4" spans="1:15">
      <c r="A4" s="19" t="s">
        <v>2</v>
      </c>
      <c r="B4" s="20">
        <v>116.74</v>
      </c>
      <c r="C4" s="20">
        <v>204.24</v>
      </c>
      <c r="D4" s="20">
        <v>413.26</v>
      </c>
      <c r="E4" s="21">
        <v>2013.5</v>
      </c>
      <c r="F4" s="21">
        <v>3198.36</v>
      </c>
      <c r="G4" s="21">
        <v>4046.03</v>
      </c>
      <c r="H4" s="21">
        <v>7000.13</v>
      </c>
      <c r="I4" s="21">
        <v>11759</v>
      </c>
      <c r="J4" s="21">
        <v>21461</v>
      </c>
      <c r="K4" s="21">
        <v>24578</v>
      </c>
      <c r="L4" s="21">
        <v>31536</v>
      </c>
      <c r="M4" s="152"/>
    </row>
    <row r="5" spans="1:15">
      <c r="A5" s="22" t="s">
        <v>3</v>
      </c>
      <c r="B5" s="23">
        <v>116.74</v>
      </c>
      <c r="C5" s="23">
        <v>204.24</v>
      </c>
      <c r="D5" s="23">
        <v>413.26</v>
      </c>
      <c r="E5" s="24">
        <v>2013.5</v>
      </c>
      <c r="F5" s="24">
        <v>3198.36</v>
      </c>
      <c r="G5" s="24">
        <v>4046.03</v>
      </c>
      <c r="H5" s="24">
        <v>7000.13</v>
      </c>
      <c r="I5" s="24">
        <v>11759</v>
      </c>
      <c r="J5" s="24">
        <v>21461</v>
      </c>
      <c r="K5" s="24">
        <v>24578</v>
      </c>
      <c r="L5" s="24">
        <v>31536</v>
      </c>
      <c r="M5" s="152"/>
      <c r="O5" s="152"/>
    </row>
    <row r="6" spans="1:15" ht="15" hidden="1" customHeight="1" outlineLevel="1">
      <c r="A6" s="25" t="s">
        <v>4</v>
      </c>
      <c r="B6" s="26">
        <v>4.2999999999999997E-2</v>
      </c>
      <c r="C6" s="26">
        <v>0.749</v>
      </c>
      <c r="D6" s="26">
        <v>1.0229999999999999</v>
      </c>
      <c r="E6" s="26">
        <v>3.8719999999999999</v>
      </c>
      <c r="F6" s="26">
        <v>0.58799999999999997</v>
      </c>
      <c r="G6" s="26">
        <v>0.26500000000000001</v>
      </c>
      <c r="H6" s="26">
        <v>0.73</v>
      </c>
      <c r="I6" s="26">
        <v>0.68</v>
      </c>
      <c r="J6" s="26">
        <v>0.82499999999999996</v>
      </c>
      <c r="K6" s="26">
        <v>0.14499999999999999</v>
      </c>
      <c r="L6" s="26">
        <v>0.28299999999999997</v>
      </c>
      <c r="M6" s="152"/>
      <c r="O6" s="152"/>
    </row>
    <row r="7" spans="1:15" ht="15.75" collapsed="1" thickBot="1">
      <c r="A7" s="19" t="s">
        <v>5</v>
      </c>
      <c r="B7" s="27">
        <v>-86.01</v>
      </c>
      <c r="C7" s="27">
        <v>-142.65</v>
      </c>
      <c r="D7" s="27">
        <v>-383.19</v>
      </c>
      <c r="E7" s="28">
        <v>-1557.23</v>
      </c>
      <c r="F7" s="28">
        <v>-2316.69</v>
      </c>
      <c r="G7" s="28">
        <v>-3122.52</v>
      </c>
      <c r="H7" s="28">
        <v>-5400.88</v>
      </c>
      <c r="I7" s="28">
        <v>-9536</v>
      </c>
      <c r="J7" s="28">
        <v>-17419</v>
      </c>
      <c r="K7" s="28">
        <v>-20509</v>
      </c>
      <c r="L7" s="28">
        <v>-24906</v>
      </c>
      <c r="M7" s="152"/>
      <c r="O7" s="152"/>
    </row>
    <row r="8" spans="1:15" ht="15.75" thickTop="1">
      <c r="A8" s="29" t="s">
        <v>6</v>
      </c>
      <c r="B8" s="30">
        <v>30.73</v>
      </c>
      <c r="C8" s="30">
        <v>61.6</v>
      </c>
      <c r="D8" s="30">
        <v>30.07</v>
      </c>
      <c r="E8" s="30">
        <v>456.26</v>
      </c>
      <c r="F8" s="30">
        <v>881.67</v>
      </c>
      <c r="G8" s="30">
        <v>923.5</v>
      </c>
      <c r="H8" s="31">
        <v>1599.26</v>
      </c>
      <c r="I8" s="31">
        <v>2223</v>
      </c>
      <c r="J8" s="31">
        <v>4042</v>
      </c>
      <c r="K8" s="31">
        <v>4069</v>
      </c>
      <c r="L8" s="31">
        <v>6630</v>
      </c>
      <c r="M8" s="152"/>
      <c r="O8" s="152"/>
    </row>
    <row r="9" spans="1:15" ht="15" hidden="1" customHeight="1" outlineLevel="1">
      <c r="A9" s="25" t="s">
        <v>4</v>
      </c>
      <c r="B9" s="26">
        <v>2.2229999999999999</v>
      </c>
      <c r="C9" s="26">
        <v>1.004</v>
      </c>
      <c r="D9" s="32">
        <v>-0.51200000000000001</v>
      </c>
      <c r="E9" s="26">
        <v>14.175000000000001</v>
      </c>
      <c r="F9" s="26">
        <v>0.93200000000000005</v>
      </c>
      <c r="G9" s="26">
        <v>4.7E-2</v>
      </c>
      <c r="H9" s="26">
        <v>0.73199999999999998</v>
      </c>
      <c r="I9" s="26">
        <v>0.39</v>
      </c>
      <c r="J9" s="26">
        <v>0.81799999999999995</v>
      </c>
      <c r="K9" s="26">
        <v>7.0000000000000001E-3</v>
      </c>
      <c r="L9" s="26">
        <v>0.629</v>
      </c>
      <c r="M9" s="152"/>
      <c r="O9" s="152"/>
    </row>
    <row r="10" spans="1:15" ht="15" hidden="1" customHeight="1" outlineLevel="1">
      <c r="A10" s="25" t="s">
        <v>7</v>
      </c>
      <c r="B10" s="26">
        <v>0.26300000000000001</v>
      </c>
      <c r="C10" s="26">
        <v>0.30199999999999999</v>
      </c>
      <c r="D10" s="26">
        <v>7.2999999999999995E-2</v>
      </c>
      <c r="E10" s="26">
        <v>0.22700000000000001</v>
      </c>
      <c r="F10" s="26">
        <v>0.27600000000000002</v>
      </c>
      <c r="G10" s="26">
        <v>0.22800000000000001</v>
      </c>
      <c r="H10" s="26">
        <v>0.22800000000000001</v>
      </c>
      <c r="I10" s="26">
        <v>0.189</v>
      </c>
      <c r="J10" s="26">
        <v>0.188</v>
      </c>
      <c r="K10" s="26">
        <v>0.16600000000000001</v>
      </c>
      <c r="L10" s="26">
        <v>0.21</v>
      </c>
      <c r="M10" s="152"/>
      <c r="O10" s="152"/>
    </row>
    <row r="11" spans="1:15" collapsed="1">
      <c r="A11" s="19" t="s">
        <v>8</v>
      </c>
      <c r="B11" s="27">
        <v>-84.57</v>
      </c>
      <c r="C11" s="27">
        <v>-104.1</v>
      </c>
      <c r="D11" s="27">
        <v>-150.37</v>
      </c>
      <c r="E11" s="27">
        <v>-285.57</v>
      </c>
      <c r="F11" s="27">
        <v>-603.66</v>
      </c>
      <c r="G11" s="27">
        <v>-922.23</v>
      </c>
      <c r="H11" s="28">
        <v>-1410.49</v>
      </c>
      <c r="I11" s="28">
        <v>-2477</v>
      </c>
      <c r="J11" s="28">
        <v>-2835</v>
      </c>
      <c r="K11" s="28">
        <v>-2646</v>
      </c>
      <c r="L11" s="28">
        <v>-3188</v>
      </c>
      <c r="M11" s="152"/>
      <c r="O11" s="152"/>
    </row>
    <row r="12" spans="1:15" ht="15.75" thickBot="1">
      <c r="A12" s="19" t="s">
        <v>9</v>
      </c>
      <c r="B12" s="27">
        <v>-93</v>
      </c>
      <c r="C12" s="27">
        <v>-208.98</v>
      </c>
      <c r="D12" s="27">
        <v>-273.98</v>
      </c>
      <c r="E12" s="27">
        <v>-231.98</v>
      </c>
      <c r="F12" s="27">
        <v>-464.7</v>
      </c>
      <c r="G12" s="27">
        <v>-717.9</v>
      </c>
      <c r="H12" s="27">
        <v>-834.41</v>
      </c>
      <c r="I12" s="28">
        <v>-1378</v>
      </c>
      <c r="J12" s="28">
        <v>-1460</v>
      </c>
      <c r="K12" s="28">
        <v>-1343</v>
      </c>
      <c r="L12" s="28">
        <v>-1491</v>
      </c>
      <c r="M12" s="152"/>
      <c r="O12" s="152"/>
    </row>
    <row r="13" spans="1:15" ht="15.75" thickTop="1">
      <c r="A13" s="29" t="s">
        <v>12</v>
      </c>
      <c r="B13" s="33">
        <v>-177.57</v>
      </c>
      <c r="C13" s="33">
        <v>-313.08</v>
      </c>
      <c r="D13" s="33">
        <v>-424.35</v>
      </c>
      <c r="E13" s="33">
        <v>-517.54999999999995</v>
      </c>
      <c r="F13" s="34">
        <v>-1068.3599999999999</v>
      </c>
      <c r="G13" s="34">
        <v>-1640.13</v>
      </c>
      <c r="H13" s="34">
        <v>-2244.9</v>
      </c>
      <c r="I13" s="34">
        <v>-3855</v>
      </c>
      <c r="J13" s="34">
        <v>-4295</v>
      </c>
      <c r="K13" s="34">
        <v>-3989</v>
      </c>
      <c r="L13" s="34">
        <v>-4679</v>
      </c>
      <c r="M13" s="152"/>
      <c r="O13" s="152"/>
    </row>
    <row r="14" spans="1:15">
      <c r="A14" s="22" t="s">
        <v>13</v>
      </c>
      <c r="B14" s="35">
        <f>B8+B13</f>
        <v>-146.84</v>
      </c>
      <c r="C14" s="35">
        <f>C8+C13</f>
        <v>-251.48</v>
      </c>
      <c r="D14" s="35">
        <f>D8+D13</f>
        <v>-394.28000000000003</v>
      </c>
      <c r="E14" s="35">
        <v>-61.28</v>
      </c>
      <c r="F14" s="35">
        <v>-186.69</v>
      </c>
      <c r="G14" s="35">
        <v>-716.63</v>
      </c>
      <c r="H14" s="35">
        <v>-645.64</v>
      </c>
      <c r="I14" s="36">
        <v>-1632</v>
      </c>
      <c r="J14" s="35">
        <v>-253</v>
      </c>
      <c r="K14" s="23">
        <v>80</v>
      </c>
      <c r="L14" s="24">
        <v>1951</v>
      </c>
      <c r="M14" s="152"/>
      <c r="O14" s="152"/>
    </row>
    <row r="15" spans="1:15" ht="15" hidden="1" customHeight="1" outlineLevel="1">
      <c r="A15" s="25" t="s">
        <v>4</v>
      </c>
      <c r="B15" s="26">
        <v>1.829</v>
      </c>
      <c r="C15" s="26">
        <v>0.71299999999999997</v>
      </c>
      <c r="D15" s="26">
        <v>0.56799999999999995</v>
      </c>
      <c r="E15" s="26">
        <v>0.84499999999999997</v>
      </c>
      <c r="F15" s="26">
        <v>2.0459999999999998</v>
      </c>
      <c r="G15" s="26">
        <v>2.839</v>
      </c>
      <c r="H15" s="26">
        <v>9.9000000000000005E-2</v>
      </c>
      <c r="I15" s="26">
        <v>1.528</v>
      </c>
      <c r="J15" s="26">
        <v>0.84499999999999997</v>
      </c>
      <c r="K15" s="26">
        <v>1.3160000000000001</v>
      </c>
      <c r="L15" s="26">
        <v>23.388000000000002</v>
      </c>
      <c r="M15" s="152"/>
    </row>
    <row r="16" spans="1:15" ht="15" hidden="1" customHeight="1" outlineLevel="1">
      <c r="A16" s="25" t="s">
        <v>14</v>
      </c>
      <c r="B16" s="32">
        <v>-1.258</v>
      </c>
      <c r="C16" s="32">
        <v>-1.2310000000000001</v>
      </c>
      <c r="D16" s="32">
        <v>-0.95399999999999996</v>
      </c>
      <c r="E16" s="32">
        <v>-0.03</v>
      </c>
      <c r="F16" s="32">
        <v>-5.8000000000000003E-2</v>
      </c>
      <c r="G16" s="32">
        <v>-0.17699999999999999</v>
      </c>
      <c r="H16" s="32">
        <v>-9.1999999999999998E-2</v>
      </c>
      <c r="I16" s="32">
        <v>-0.13900000000000001</v>
      </c>
      <c r="J16" s="32">
        <v>-1.2E-2</v>
      </c>
      <c r="K16" s="26">
        <v>3.0000000000000001E-3</v>
      </c>
      <c r="L16" s="26">
        <v>6.2E-2</v>
      </c>
      <c r="M16" s="152"/>
    </row>
    <row r="17" spans="1:16" collapsed="1">
      <c r="A17" s="19" t="s">
        <v>15</v>
      </c>
      <c r="B17" s="27">
        <v>-0.99</v>
      </c>
      <c r="C17" s="27">
        <v>-0.04</v>
      </c>
      <c r="D17" s="27">
        <v>-0.25</v>
      </c>
      <c r="E17" s="27">
        <v>-32.93</v>
      </c>
      <c r="F17" s="27">
        <v>-100.89</v>
      </c>
      <c r="G17" s="27">
        <v>-118.85</v>
      </c>
      <c r="H17" s="27">
        <v>-191.82</v>
      </c>
      <c r="I17" s="27">
        <v>-477</v>
      </c>
      <c r="J17" s="27">
        <v>-653</v>
      </c>
      <c r="K17" s="27">
        <v>-725</v>
      </c>
      <c r="L17" s="27">
        <v>-784</v>
      </c>
      <c r="M17" s="152"/>
    </row>
    <row r="18" spans="1:16">
      <c r="A18" s="19" t="s">
        <v>16</v>
      </c>
      <c r="B18" s="20">
        <v>0.26</v>
      </c>
      <c r="C18" s="20">
        <v>0.26</v>
      </c>
      <c r="D18" s="20">
        <v>0.28999999999999998</v>
      </c>
      <c r="E18" s="20">
        <v>0.19</v>
      </c>
      <c r="F18" s="20">
        <v>1.1299999999999999</v>
      </c>
      <c r="G18" s="20">
        <v>1.51</v>
      </c>
      <c r="H18" s="20">
        <v>8.5299999999999994</v>
      </c>
      <c r="I18" s="20">
        <v>19</v>
      </c>
      <c r="J18" s="20">
        <v>24</v>
      </c>
      <c r="K18" s="20">
        <v>44</v>
      </c>
      <c r="L18" s="20">
        <v>30</v>
      </c>
      <c r="M18" s="152"/>
    </row>
    <row r="19" spans="1:16">
      <c r="A19" s="19" t="s">
        <v>17</v>
      </c>
      <c r="B19" s="37"/>
      <c r="C19" s="37"/>
      <c r="D19" s="37"/>
      <c r="E19" s="20">
        <v>11.9</v>
      </c>
      <c r="F19" s="20">
        <v>2</v>
      </c>
      <c r="G19" s="27">
        <v>-45.6</v>
      </c>
      <c r="H19" s="20">
        <v>26.1</v>
      </c>
      <c r="I19" s="27">
        <v>-52</v>
      </c>
      <c r="J19" s="20">
        <v>2</v>
      </c>
      <c r="K19" s="20">
        <v>48</v>
      </c>
      <c r="L19" s="27">
        <v>-114</v>
      </c>
      <c r="M19" s="152"/>
    </row>
    <row r="20" spans="1:16" ht="15.75" thickBot="1">
      <c r="A20" s="19" t="s">
        <v>18</v>
      </c>
      <c r="B20" s="27">
        <v>-6.58</v>
      </c>
      <c r="C20" s="27">
        <v>-2.65</v>
      </c>
      <c r="D20" s="27">
        <v>-1.83</v>
      </c>
      <c r="E20" s="20">
        <v>10.7</v>
      </c>
      <c r="F20" s="27">
        <v>-0.19</v>
      </c>
      <c r="G20" s="20">
        <v>3.95</v>
      </c>
      <c r="H20" s="27">
        <v>-10.55</v>
      </c>
      <c r="I20" s="27">
        <v>-9</v>
      </c>
      <c r="J20" s="20">
        <v>10</v>
      </c>
      <c r="K20" s="20">
        <v>37</v>
      </c>
      <c r="L20" s="20">
        <v>28</v>
      </c>
      <c r="M20" s="152"/>
    </row>
    <row r="21" spans="1:16" ht="15.75" thickTop="1">
      <c r="A21" s="29" t="s">
        <v>19</v>
      </c>
      <c r="B21" s="33">
        <v>-154.16</v>
      </c>
      <c r="C21" s="33">
        <v>-253.92</v>
      </c>
      <c r="D21" s="33">
        <v>-396.08</v>
      </c>
      <c r="E21" s="33">
        <v>-71.430000000000007</v>
      </c>
      <c r="F21" s="33">
        <v>-284.64</v>
      </c>
      <c r="G21" s="33">
        <v>-875.62</v>
      </c>
      <c r="H21" s="33">
        <v>-813.38</v>
      </c>
      <c r="I21" s="34">
        <v>-2151</v>
      </c>
      <c r="J21" s="33">
        <v>-870</v>
      </c>
      <c r="K21" s="33">
        <v>-516</v>
      </c>
      <c r="L21" s="31">
        <v>1111</v>
      </c>
      <c r="M21" s="152"/>
    </row>
    <row r="22" spans="1:16">
      <c r="A22" s="19" t="s">
        <v>20</v>
      </c>
      <c r="B22" s="37"/>
      <c r="C22" s="37"/>
      <c r="D22" s="37"/>
      <c r="E22" s="37"/>
      <c r="F22" s="37"/>
      <c r="G22" s="37"/>
      <c r="H22" s="27">
        <v>-21.7</v>
      </c>
      <c r="I22" s="37"/>
      <c r="J22" s="27">
        <v>-92</v>
      </c>
      <c r="K22" s="27">
        <v>-87</v>
      </c>
      <c r="L22" s="37"/>
      <c r="M22" s="152"/>
    </row>
    <row r="23" spans="1:16" ht="15" hidden="1" customHeight="1" outlineLevel="1">
      <c r="A23" s="19" t="s">
        <v>21</v>
      </c>
      <c r="B23" s="37"/>
      <c r="C23" s="37"/>
      <c r="D23" s="37"/>
      <c r="E23" s="37"/>
      <c r="F23" s="37"/>
      <c r="G23" s="37"/>
      <c r="H23" s="20">
        <v>88.73</v>
      </c>
      <c r="I23" s="37"/>
      <c r="J23" s="37"/>
      <c r="K23" s="37"/>
      <c r="L23" s="37"/>
      <c r="M23" s="152"/>
    </row>
    <row r="24" spans="1:16" collapsed="1">
      <c r="A24" s="19" t="s">
        <v>22</v>
      </c>
      <c r="B24" s="37"/>
      <c r="C24" s="37"/>
      <c r="D24" s="37"/>
      <c r="E24" s="37"/>
      <c r="F24" s="37"/>
      <c r="G24" s="37"/>
      <c r="H24" s="37"/>
      <c r="I24" s="37"/>
      <c r="J24" s="27">
        <v>-13</v>
      </c>
      <c r="K24" s="27">
        <v>-15</v>
      </c>
      <c r="L24" s="37"/>
      <c r="M24" s="152"/>
    </row>
    <row r="25" spans="1:16">
      <c r="A25" s="19" t="s">
        <v>164</v>
      </c>
      <c r="B25" s="37"/>
      <c r="C25" s="37"/>
      <c r="D25" s="37"/>
      <c r="E25" s="37"/>
      <c r="F25" s="37"/>
      <c r="G25" s="37"/>
      <c r="H25" s="37"/>
      <c r="I25" s="37"/>
      <c r="J25" s="37"/>
      <c r="K25" s="27">
        <v>-47</v>
      </c>
      <c r="L25" s="37"/>
      <c r="M25" s="152"/>
    </row>
    <row r="26" spans="1:16" ht="15.75" thickBot="1">
      <c r="A26" s="19" t="s">
        <v>165</v>
      </c>
      <c r="B26" s="37"/>
      <c r="C26" s="37"/>
      <c r="D26" s="37"/>
      <c r="E26" s="37"/>
      <c r="F26" s="37"/>
      <c r="G26" s="37"/>
      <c r="H26" s="37"/>
      <c r="I26" s="37"/>
      <c r="J26" s="27">
        <v>-30</v>
      </c>
      <c r="K26" s="37"/>
      <c r="L26" s="20">
        <v>43</v>
      </c>
      <c r="M26" s="152"/>
    </row>
    <row r="27" spans="1:16" ht="15.75" hidden="1" customHeight="1" outlineLevel="1" thickBot="1">
      <c r="A27" s="19" t="s">
        <v>23</v>
      </c>
      <c r="B27" s="37"/>
      <c r="C27" s="37"/>
      <c r="D27" s="37"/>
      <c r="E27" s="37"/>
      <c r="F27" s="37"/>
      <c r="G27" s="37"/>
      <c r="H27" s="37"/>
      <c r="I27" s="27">
        <v>-58</v>
      </c>
      <c r="J27" s="37"/>
      <c r="K27" s="37"/>
      <c r="L27" s="37"/>
      <c r="M27" s="152"/>
    </row>
    <row r="28" spans="1:16" ht="15.75" collapsed="1" thickTop="1">
      <c r="A28" s="29" t="s">
        <v>24</v>
      </c>
      <c r="B28" s="33">
        <v>-154.16</v>
      </c>
      <c r="C28" s="33">
        <v>-253.92</v>
      </c>
      <c r="D28" s="33">
        <v>-396.08</v>
      </c>
      <c r="E28" s="33">
        <v>-71.430000000000007</v>
      </c>
      <c r="F28" s="33">
        <v>-284.64</v>
      </c>
      <c r="G28" s="33">
        <v>-875.62</v>
      </c>
      <c r="H28" s="33">
        <v>-746.35</v>
      </c>
      <c r="I28" s="34">
        <v>-2209</v>
      </c>
      <c r="J28" s="34">
        <v>-1005</v>
      </c>
      <c r="K28" s="33">
        <v>-665</v>
      </c>
      <c r="L28" s="31">
        <v>1154</v>
      </c>
      <c r="M28" s="152"/>
    </row>
    <row r="29" spans="1:16" ht="15.75" thickBot="1">
      <c r="A29" s="19" t="s">
        <v>25</v>
      </c>
      <c r="B29" s="27">
        <v>-0.17</v>
      </c>
      <c r="C29" s="27">
        <v>-0.49</v>
      </c>
      <c r="D29" s="27">
        <v>-0.14000000000000001</v>
      </c>
      <c r="E29" s="27">
        <v>-2.59</v>
      </c>
      <c r="F29" s="27">
        <v>-9.4</v>
      </c>
      <c r="G29" s="27">
        <v>-13.04</v>
      </c>
      <c r="H29" s="27">
        <v>-26.7</v>
      </c>
      <c r="I29" s="27">
        <v>-32</v>
      </c>
      <c r="J29" s="27">
        <v>-58</v>
      </c>
      <c r="K29" s="27">
        <v>-110</v>
      </c>
      <c r="L29" s="27">
        <v>-292</v>
      </c>
      <c r="M29" s="152"/>
      <c r="N29" s="152"/>
      <c r="O29" s="152"/>
      <c r="P29" s="152"/>
    </row>
    <row r="30" spans="1:16" ht="16.5" thickTop="1" thickBot="1">
      <c r="A30" s="29" t="s">
        <v>26</v>
      </c>
      <c r="B30" s="33">
        <v>-154.33000000000001</v>
      </c>
      <c r="C30" s="33">
        <v>-254.41</v>
      </c>
      <c r="D30" s="33">
        <v>-396.21</v>
      </c>
      <c r="E30" s="33">
        <v>-74.010000000000005</v>
      </c>
      <c r="F30" s="33">
        <v>-294.04000000000002</v>
      </c>
      <c r="G30" s="33">
        <v>-888.66</v>
      </c>
      <c r="H30" s="33">
        <v>-773.05</v>
      </c>
      <c r="I30" s="34">
        <v>-2241</v>
      </c>
      <c r="J30" s="34">
        <v>-1063</v>
      </c>
      <c r="K30" s="33">
        <v>-775</v>
      </c>
      <c r="L30" s="30">
        <v>862</v>
      </c>
      <c r="M30" s="152"/>
      <c r="N30" s="152"/>
      <c r="O30" s="152"/>
      <c r="P30" s="152"/>
    </row>
    <row r="31" spans="1:16" ht="15.75" thickTop="1">
      <c r="A31" s="29" t="s">
        <v>27</v>
      </c>
      <c r="B31" s="33">
        <v>-154.33000000000001</v>
      </c>
      <c r="C31" s="33">
        <v>-254.41</v>
      </c>
      <c r="D31" s="33">
        <v>-396.21</v>
      </c>
      <c r="E31" s="33">
        <v>-74.010000000000005</v>
      </c>
      <c r="F31" s="33">
        <v>-294.04000000000002</v>
      </c>
      <c r="G31" s="33">
        <v>-888.66</v>
      </c>
      <c r="H31" s="33">
        <v>-773.05</v>
      </c>
      <c r="I31" s="34">
        <v>-2241</v>
      </c>
      <c r="J31" s="34">
        <v>-1063</v>
      </c>
      <c r="K31" s="33">
        <v>-775</v>
      </c>
      <c r="L31" s="30">
        <v>862</v>
      </c>
      <c r="M31" s="152"/>
      <c r="N31" s="152"/>
      <c r="O31" s="152"/>
      <c r="P31" s="152"/>
    </row>
    <row r="32" spans="1:16">
      <c r="A32" s="19" t="s">
        <v>166</v>
      </c>
      <c r="B32" s="37"/>
      <c r="C32" s="37"/>
      <c r="D32" s="37"/>
      <c r="E32" s="37"/>
      <c r="F32" s="37"/>
      <c r="G32" s="37"/>
      <c r="H32" s="20">
        <v>98.13</v>
      </c>
      <c r="I32" s="20">
        <v>279</v>
      </c>
      <c r="J32" s="20">
        <v>87</v>
      </c>
      <c r="K32" s="27">
        <v>-87</v>
      </c>
      <c r="L32" s="27">
        <v>-141</v>
      </c>
      <c r="M32" s="152"/>
      <c r="N32" s="152"/>
      <c r="O32" s="152"/>
      <c r="P32" s="152"/>
    </row>
    <row r="33" spans="1:16">
      <c r="A33" s="22" t="s">
        <v>28</v>
      </c>
      <c r="B33" s="35">
        <v>-154.33000000000001</v>
      </c>
      <c r="C33" s="35">
        <v>-254.41</v>
      </c>
      <c r="D33" s="35">
        <v>-396.21</v>
      </c>
      <c r="E33" s="35">
        <v>-74.010000000000005</v>
      </c>
      <c r="F33" s="35">
        <v>-294.04000000000002</v>
      </c>
      <c r="G33" s="35">
        <v>-888.66</v>
      </c>
      <c r="H33" s="35">
        <v>-674.91</v>
      </c>
      <c r="I33" s="36">
        <v>-1962</v>
      </c>
      <c r="J33" s="35">
        <v>-976</v>
      </c>
      <c r="K33" s="35">
        <v>-862</v>
      </c>
      <c r="L33" s="23">
        <v>721</v>
      </c>
      <c r="M33" s="152"/>
      <c r="N33" s="152"/>
      <c r="O33" s="152"/>
      <c r="P33" s="152"/>
    </row>
    <row r="34" spans="1:16">
      <c r="A34" s="19" t="s">
        <v>173</v>
      </c>
      <c r="B34" s="37"/>
      <c r="C34" s="37"/>
      <c r="D34" s="37"/>
      <c r="E34" s="37"/>
      <c r="F34" s="37"/>
      <c r="G34" s="37"/>
      <c r="H34" s="37"/>
      <c r="I34" s="37"/>
      <c r="J34" s="37"/>
      <c r="K34" s="27">
        <v>-8</v>
      </c>
      <c r="L34" s="27">
        <v>-31</v>
      </c>
      <c r="M34" s="152"/>
      <c r="N34" s="152"/>
      <c r="O34" s="152"/>
      <c r="P34" s="152"/>
    </row>
    <row r="35" spans="1:16">
      <c r="A35" s="22" t="s">
        <v>29</v>
      </c>
      <c r="B35" s="35">
        <v>-154.33000000000001</v>
      </c>
      <c r="C35" s="35">
        <v>-254.41</v>
      </c>
      <c r="D35" s="35">
        <v>-396.21</v>
      </c>
      <c r="E35" s="35">
        <v>-74.010000000000005</v>
      </c>
      <c r="F35" s="35">
        <v>-294.04000000000002</v>
      </c>
      <c r="G35" s="35">
        <v>-888.66</v>
      </c>
      <c r="H35" s="35">
        <v>-674.91</v>
      </c>
      <c r="I35" s="36">
        <v>-1962</v>
      </c>
      <c r="J35" s="35">
        <v>-976</v>
      </c>
      <c r="K35" s="35">
        <v>-870</v>
      </c>
      <c r="L35" s="23">
        <v>690</v>
      </c>
      <c r="M35" s="152"/>
      <c r="N35" s="152"/>
      <c r="O35" s="152"/>
      <c r="P35" s="152"/>
    </row>
    <row r="36" spans="1:16">
      <c r="A36" s="25" t="s">
        <v>30</v>
      </c>
      <c r="B36" s="32">
        <v>-1.3220000000000001</v>
      </c>
      <c r="C36" s="32">
        <v>-1.246</v>
      </c>
      <c r="D36" s="32">
        <v>-0.95899999999999996</v>
      </c>
      <c r="E36" s="32">
        <v>-3.6999999999999998E-2</v>
      </c>
      <c r="F36" s="32">
        <v>-9.1999999999999998E-2</v>
      </c>
      <c r="G36" s="32">
        <v>-0.22</v>
      </c>
      <c r="H36" s="32">
        <v>-9.6000000000000002E-2</v>
      </c>
      <c r="I36" s="32">
        <v>-0.16700000000000001</v>
      </c>
      <c r="J36" s="32">
        <v>-4.4999999999999998E-2</v>
      </c>
      <c r="K36" s="32">
        <v>-3.5000000000000003E-2</v>
      </c>
      <c r="L36" s="26">
        <v>2.1999999999999999E-2</v>
      </c>
      <c r="M36" s="152"/>
      <c r="N36" s="152"/>
      <c r="O36" s="152"/>
      <c r="P36" s="152"/>
    </row>
    <row r="37" spans="1:16">
      <c r="A37" s="22" t="s">
        <v>31</v>
      </c>
      <c r="B37" s="35">
        <v>-154.33000000000001</v>
      </c>
      <c r="C37" s="35">
        <v>-254.41</v>
      </c>
      <c r="D37" s="35">
        <v>-396.21</v>
      </c>
      <c r="E37" s="35">
        <v>-74.010000000000005</v>
      </c>
      <c r="F37" s="35">
        <v>-294.04000000000002</v>
      </c>
      <c r="G37" s="35">
        <v>-888.66</v>
      </c>
      <c r="H37" s="35">
        <v>-674.91</v>
      </c>
      <c r="I37" s="36">
        <v>-1962</v>
      </c>
      <c r="J37" s="35">
        <v>-976</v>
      </c>
      <c r="K37" s="35">
        <v>-870</v>
      </c>
      <c r="L37" s="23">
        <v>690</v>
      </c>
      <c r="M37" s="152"/>
      <c r="N37" s="152"/>
      <c r="O37" s="152"/>
      <c r="P37" s="152"/>
    </row>
    <row r="38" spans="1:16">
      <c r="A38" s="25" t="s">
        <v>32</v>
      </c>
      <c r="B38" s="32">
        <v>-1.3220000000000001</v>
      </c>
      <c r="C38" s="32">
        <v>-1.246</v>
      </c>
      <c r="D38" s="32">
        <v>-0.95899999999999996</v>
      </c>
      <c r="E38" s="32">
        <v>-3.6999999999999998E-2</v>
      </c>
      <c r="F38" s="32">
        <v>-9.1999999999999998E-2</v>
      </c>
      <c r="G38" s="32">
        <v>-0.22</v>
      </c>
      <c r="H38" s="32">
        <v>-9.6000000000000002E-2</v>
      </c>
      <c r="I38" s="32">
        <v>-0.16700000000000001</v>
      </c>
      <c r="J38" s="32">
        <v>-4.4999999999999998E-2</v>
      </c>
      <c r="K38" s="32">
        <v>-3.5000000000000003E-2</v>
      </c>
      <c r="L38" s="26">
        <v>2.1999999999999999E-2</v>
      </c>
      <c r="M38" s="152"/>
      <c r="N38" s="152"/>
      <c r="O38" s="152"/>
      <c r="P38" s="152"/>
    </row>
    <row r="39" spans="1:16">
      <c r="A39" s="38" t="s">
        <v>33</v>
      </c>
      <c r="B39" s="1"/>
      <c r="C39" s="1"/>
      <c r="D39" s="1"/>
      <c r="E39" s="1"/>
      <c r="F39" s="1"/>
      <c r="G39" s="1"/>
      <c r="H39" s="1"/>
      <c r="I39" s="1"/>
      <c r="J39" s="1"/>
      <c r="K39" s="1"/>
      <c r="L39" s="1"/>
      <c r="N39" s="152"/>
      <c r="O39" s="152"/>
      <c r="P39" s="152"/>
    </row>
    <row r="40" spans="1:16">
      <c r="A40" s="19" t="s">
        <v>34</v>
      </c>
      <c r="B40" s="27">
        <v>-0.61</v>
      </c>
      <c r="C40" s="27">
        <v>-0.51</v>
      </c>
      <c r="D40" s="27">
        <v>-0.74</v>
      </c>
      <c r="E40" s="27">
        <v>-0.12</v>
      </c>
      <c r="F40" s="27">
        <v>-0.47</v>
      </c>
      <c r="G40" s="27">
        <v>-1.39</v>
      </c>
      <c r="H40" s="27">
        <v>-0.94</v>
      </c>
      <c r="I40" s="27">
        <v>-2.37</v>
      </c>
      <c r="J40" s="27">
        <v>-1.1399999999999999</v>
      </c>
      <c r="K40" s="27">
        <v>-0.98</v>
      </c>
      <c r="L40" s="20">
        <v>0.64</v>
      </c>
    </row>
    <row r="41" spans="1:16">
      <c r="A41" s="39" t="s">
        <v>4</v>
      </c>
      <c r="B41" s="40">
        <v>0.61699999999999999</v>
      </c>
      <c r="C41" s="40">
        <v>0.16700000000000001</v>
      </c>
      <c r="D41" s="40">
        <v>0.45600000000000002</v>
      </c>
      <c r="E41" s="40">
        <v>0.83199999999999996</v>
      </c>
      <c r="F41" s="40">
        <v>2.81</v>
      </c>
      <c r="G41" s="40">
        <v>1.9359999999999999</v>
      </c>
      <c r="H41" s="40">
        <v>0.32500000000000001</v>
      </c>
      <c r="I41" s="40">
        <v>1.528</v>
      </c>
      <c r="J41" s="40">
        <v>0.51600000000000001</v>
      </c>
      <c r="K41" s="40">
        <v>0.14299999999999999</v>
      </c>
      <c r="L41" s="40">
        <v>1.653</v>
      </c>
    </row>
    <row r="42" spans="1:16">
      <c r="A42" s="19" t="s">
        <v>35</v>
      </c>
      <c r="B42" s="20">
        <v>253.59</v>
      </c>
      <c r="C42" s="20">
        <v>501.94</v>
      </c>
      <c r="D42" s="20">
        <v>536.75</v>
      </c>
      <c r="E42" s="20">
        <v>597.11</v>
      </c>
      <c r="F42" s="20">
        <v>622.70000000000005</v>
      </c>
      <c r="G42" s="20">
        <v>641.01</v>
      </c>
      <c r="H42" s="20">
        <v>721.06</v>
      </c>
      <c r="I42" s="20">
        <v>830</v>
      </c>
      <c r="J42" s="20">
        <v>853</v>
      </c>
      <c r="K42" s="20">
        <v>887</v>
      </c>
      <c r="L42" s="21">
        <v>1083</v>
      </c>
    </row>
    <row r="43" spans="1:16">
      <c r="A43" s="39" t="s">
        <v>4</v>
      </c>
      <c r="B43" s="40">
        <v>6.2229999999999999</v>
      </c>
      <c r="C43" s="40">
        <v>0.97899999999999998</v>
      </c>
      <c r="D43" s="40">
        <v>6.9000000000000006E-2</v>
      </c>
      <c r="E43" s="40">
        <v>0.112</v>
      </c>
      <c r="F43" s="40">
        <v>4.2999999999999997E-2</v>
      </c>
      <c r="G43" s="40">
        <v>2.9000000000000001E-2</v>
      </c>
      <c r="H43" s="40">
        <v>0.125</v>
      </c>
      <c r="I43" s="40">
        <v>0.151</v>
      </c>
      <c r="J43" s="40">
        <v>2.8000000000000001E-2</v>
      </c>
      <c r="K43" s="40">
        <v>0.04</v>
      </c>
      <c r="L43" s="40">
        <v>0.221</v>
      </c>
    </row>
    <row r="44" spans="1:16">
      <c r="A44" s="19" t="s">
        <v>36</v>
      </c>
      <c r="B44" s="20">
        <v>253.59</v>
      </c>
      <c r="C44" s="20">
        <v>501.94</v>
      </c>
      <c r="D44" s="20">
        <v>536.75</v>
      </c>
      <c r="E44" s="20">
        <v>597.11</v>
      </c>
      <c r="F44" s="20">
        <v>622.70000000000005</v>
      </c>
      <c r="G44" s="20">
        <v>641.01</v>
      </c>
      <c r="H44" s="20">
        <v>721.06</v>
      </c>
      <c r="I44" s="20">
        <v>830</v>
      </c>
      <c r="J44" s="20">
        <v>853</v>
      </c>
      <c r="K44" s="20">
        <v>887</v>
      </c>
      <c r="L44" s="20">
        <v>933</v>
      </c>
    </row>
    <row r="45" spans="1:16">
      <c r="A45" s="39" t="s">
        <v>4</v>
      </c>
      <c r="B45" s="40">
        <v>6.2229999999999999</v>
      </c>
      <c r="C45" s="40">
        <v>0.97899999999999998</v>
      </c>
      <c r="D45" s="40">
        <v>6.9000000000000006E-2</v>
      </c>
      <c r="E45" s="40">
        <v>0.112</v>
      </c>
      <c r="F45" s="40">
        <v>4.2999999999999997E-2</v>
      </c>
      <c r="G45" s="40">
        <v>2.9000000000000001E-2</v>
      </c>
      <c r="H45" s="40">
        <v>0.125</v>
      </c>
      <c r="I45" s="40">
        <v>0.151</v>
      </c>
      <c r="J45" s="40">
        <v>2.8000000000000001E-2</v>
      </c>
      <c r="K45" s="40">
        <v>0.04</v>
      </c>
      <c r="L45" s="40">
        <v>5.1999999999999998E-2</v>
      </c>
    </row>
    <row r="46" spans="1:16">
      <c r="A46" s="19" t="s">
        <v>37</v>
      </c>
      <c r="B46" s="27">
        <v>-0.61</v>
      </c>
      <c r="C46" s="27">
        <v>-0.51</v>
      </c>
      <c r="D46" s="27">
        <v>-0.74</v>
      </c>
      <c r="E46" s="27">
        <v>-0.12</v>
      </c>
      <c r="F46" s="27">
        <v>-0.47</v>
      </c>
      <c r="G46" s="27">
        <v>-1.39</v>
      </c>
      <c r="H46" s="27">
        <v>-0.94</v>
      </c>
      <c r="I46" s="27">
        <v>-2.36</v>
      </c>
      <c r="J46" s="27">
        <v>-1.1399999999999999</v>
      </c>
      <c r="K46" s="27">
        <v>-0.98</v>
      </c>
      <c r="L46" s="20">
        <v>0.74</v>
      </c>
    </row>
    <row r="47" spans="1:16">
      <c r="A47" s="19" t="s">
        <v>38</v>
      </c>
      <c r="B47" s="27">
        <v>-136.22</v>
      </c>
      <c r="C47" s="27">
        <v>-234.57</v>
      </c>
      <c r="D47" s="27">
        <v>-365.46</v>
      </c>
      <c r="E47" s="20">
        <v>44.8</v>
      </c>
      <c r="F47" s="20">
        <v>45.24</v>
      </c>
      <c r="G47" s="27">
        <v>-294.04000000000002</v>
      </c>
      <c r="H47" s="20">
        <v>301.45999999999998</v>
      </c>
      <c r="I47" s="20">
        <v>4</v>
      </c>
      <c r="J47" s="21">
        <v>1635</v>
      </c>
      <c r="K47" s="21">
        <v>2172</v>
      </c>
      <c r="L47" s="21">
        <v>4273</v>
      </c>
    </row>
    <row r="48" spans="1:16">
      <c r="A48" s="39" t="s">
        <v>4</v>
      </c>
      <c r="B48" s="40">
        <v>2.0299999999999998</v>
      </c>
      <c r="C48" s="40">
        <v>0.72199999999999998</v>
      </c>
      <c r="D48" s="40">
        <v>0.55800000000000005</v>
      </c>
      <c r="E48" s="40">
        <v>1.123</v>
      </c>
      <c r="F48" s="40">
        <v>0.01</v>
      </c>
      <c r="G48" s="41">
        <v>-7.4989999999999997</v>
      </c>
      <c r="H48" s="40">
        <v>2.0249999999999999</v>
      </c>
      <c r="I48" s="41">
        <v>-0.98699999999999999</v>
      </c>
      <c r="J48" s="40">
        <v>407.75</v>
      </c>
      <c r="K48" s="40">
        <v>0.32800000000000001</v>
      </c>
      <c r="L48" s="40">
        <v>0.96699999999999997</v>
      </c>
    </row>
    <row r="49" spans="1:12">
      <c r="A49" s="19" t="s">
        <v>39</v>
      </c>
      <c r="B49" s="27">
        <v>-129.91999999999999</v>
      </c>
      <c r="C49" s="27">
        <v>-225.97</v>
      </c>
      <c r="D49" s="27">
        <v>-353.36</v>
      </c>
      <c r="E49" s="20">
        <v>66.3</v>
      </c>
      <c r="F49" s="20">
        <v>91.54</v>
      </c>
      <c r="G49" s="27">
        <v>-225.84</v>
      </c>
      <c r="H49" s="20">
        <v>418.26</v>
      </c>
      <c r="I49" s="37"/>
      <c r="J49" s="37"/>
      <c r="K49" s="21">
        <v>2598</v>
      </c>
      <c r="L49" s="21">
        <v>4724</v>
      </c>
    </row>
    <row r="50" spans="1:12">
      <c r="A50" s="19" t="s">
        <v>40</v>
      </c>
      <c r="B50" s="20">
        <v>93</v>
      </c>
      <c r="C50" s="20">
        <v>208.98</v>
      </c>
      <c r="D50" s="20">
        <v>273.98</v>
      </c>
      <c r="E50" s="20">
        <v>231.98</v>
      </c>
      <c r="F50" s="20">
        <v>464.7</v>
      </c>
      <c r="G50" s="20">
        <v>717.9</v>
      </c>
      <c r="H50" s="20">
        <v>834.41</v>
      </c>
      <c r="I50" s="21">
        <v>1378</v>
      </c>
      <c r="J50" s="21">
        <v>1460</v>
      </c>
      <c r="K50" s="21">
        <v>1390</v>
      </c>
      <c r="L50" s="21">
        <v>1491</v>
      </c>
    </row>
    <row r="51" spans="1:12">
      <c r="A51" s="19" t="s">
        <v>174</v>
      </c>
      <c r="B51" s="20">
        <v>3.1</v>
      </c>
      <c r="C51" s="20">
        <v>2.9</v>
      </c>
      <c r="D51" s="20">
        <v>3.9</v>
      </c>
      <c r="E51" s="20">
        <v>9</v>
      </c>
      <c r="F51" s="20">
        <v>48.9</v>
      </c>
      <c r="G51" s="20">
        <v>58.3</v>
      </c>
      <c r="H51" s="20">
        <v>48</v>
      </c>
      <c r="I51" s="20">
        <v>37</v>
      </c>
      <c r="J51" s="37"/>
      <c r="K51" s="37"/>
      <c r="L51" s="37"/>
    </row>
    <row r="52" spans="1:12">
      <c r="A52" s="19" t="s">
        <v>41</v>
      </c>
      <c r="B52" s="42">
        <v>-1E-3</v>
      </c>
      <c r="C52" s="42">
        <v>-2E-3</v>
      </c>
      <c r="D52" s="42">
        <v>0</v>
      </c>
      <c r="E52" s="42">
        <v>-3.5999999999999997E-2</v>
      </c>
      <c r="F52" s="42">
        <v>-3.3000000000000002E-2</v>
      </c>
      <c r="G52" s="42">
        <v>-1.4999999999999999E-2</v>
      </c>
      <c r="H52" s="42">
        <v>-3.5999999999999997E-2</v>
      </c>
      <c r="I52" s="42">
        <v>-1.4E-2</v>
      </c>
      <c r="J52" s="42">
        <v>-5.8000000000000003E-2</v>
      </c>
      <c r="K52" s="42">
        <v>-0.16500000000000001</v>
      </c>
      <c r="L52" s="43">
        <v>0.253</v>
      </c>
    </row>
  </sheetData>
  <mergeCells count="1">
    <mergeCell ref="A1:L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3CA-5479-4F86-A397-511A7F75E45A}">
  <sheetPr>
    <tabColor theme="3" tint="0.79998168889431442"/>
  </sheetPr>
  <dimension ref="A1:L60"/>
  <sheetViews>
    <sheetView zoomScaleNormal="100" workbookViewId="0">
      <selection sqref="A1:L1"/>
    </sheetView>
  </sheetViews>
  <sheetFormatPr defaultRowHeight="15" outlineLevelRow="1"/>
  <cols>
    <col min="1" max="1" width="42.85546875" bestFit="1" customWidth="1"/>
    <col min="2" max="12" width="13.42578125" bestFit="1" customWidth="1"/>
  </cols>
  <sheetData>
    <row r="1" spans="1:12">
      <c r="A1" s="524" t="s">
        <v>285</v>
      </c>
      <c r="B1" s="524"/>
      <c r="C1" s="524"/>
      <c r="D1" s="524"/>
      <c r="E1" s="524"/>
      <c r="F1" s="524"/>
      <c r="G1" s="524"/>
      <c r="H1" s="524"/>
      <c r="I1" s="524"/>
      <c r="J1" s="524"/>
      <c r="K1" s="524"/>
      <c r="L1" s="524"/>
    </row>
    <row r="2" spans="1:12">
      <c r="A2" s="17" t="s">
        <v>42</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19" t="s">
        <v>43</v>
      </c>
      <c r="B4" s="20">
        <v>99.56</v>
      </c>
      <c r="C4" s="20">
        <v>255.27</v>
      </c>
      <c r="D4" s="20">
        <v>201.89</v>
      </c>
      <c r="E4" s="20">
        <v>845.89</v>
      </c>
      <c r="F4" s="21">
        <v>1905.71</v>
      </c>
      <c r="G4" s="21">
        <v>1196.9100000000001</v>
      </c>
      <c r="H4" s="21">
        <v>3393.22</v>
      </c>
      <c r="I4" s="21">
        <v>3367.91</v>
      </c>
      <c r="J4" s="21">
        <v>3686</v>
      </c>
      <c r="K4" s="21">
        <v>6268</v>
      </c>
      <c r="L4" s="21">
        <v>19384</v>
      </c>
    </row>
    <row r="5" spans="1:12" hidden="1" outlineLevel="1">
      <c r="A5" s="19" t="s">
        <v>44</v>
      </c>
      <c r="B5" s="37"/>
      <c r="C5" s="20">
        <v>25.06</v>
      </c>
      <c r="D5" s="37"/>
      <c r="E5" s="37"/>
      <c r="F5" s="37"/>
      <c r="G5" s="37"/>
      <c r="H5" s="37"/>
      <c r="I5" s="37"/>
      <c r="J5" s="37"/>
      <c r="K5" s="37"/>
      <c r="L5" s="37"/>
    </row>
    <row r="6" spans="1:12" hidden="1" outlineLevel="1" collapsed="1">
      <c r="A6" s="22" t="s">
        <v>45</v>
      </c>
      <c r="B6" s="23">
        <v>99.56</v>
      </c>
      <c r="C6" s="23">
        <v>280.33</v>
      </c>
      <c r="D6" s="23">
        <v>201.89</v>
      </c>
      <c r="E6" s="23">
        <v>845.89</v>
      </c>
      <c r="F6" s="24">
        <v>1905.71</v>
      </c>
      <c r="G6" s="24">
        <v>1196.9100000000001</v>
      </c>
      <c r="H6" s="24">
        <v>3393.22</v>
      </c>
      <c r="I6" s="24">
        <v>3367.91</v>
      </c>
      <c r="J6" s="24">
        <v>3686</v>
      </c>
      <c r="K6" s="24">
        <v>6268</v>
      </c>
      <c r="L6" s="24">
        <v>19384</v>
      </c>
    </row>
    <row r="7" spans="1:12" collapsed="1">
      <c r="A7" s="19" t="s">
        <v>46</v>
      </c>
      <c r="B7" s="20">
        <v>6.71</v>
      </c>
      <c r="C7" s="20">
        <v>9.5399999999999991</v>
      </c>
      <c r="D7" s="20">
        <v>26.84</v>
      </c>
      <c r="E7" s="20">
        <v>49.11</v>
      </c>
      <c r="F7" s="20">
        <v>226.6</v>
      </c>
      <c r="G7" s="20">
        <v>168.97</v>
      </c>
      <c r="H7" s="20">
        <v>499.14</v>
      </c>
      <c r="I7" s="20">
        <v>515.38</v>
      </c>
      <c r="J7" s="20">
        <v>949</v>
      </c>
      <c r="K7" s="21">
        <v>1324</v>
      </c>
      <c r="L7" s="21">
        <v>1903</v>
      </c>
    </row>
    <row r="8" spans="1:12" hidden="1" outlineLevel="1">
      <c r="A8" s="22" t="s">
        <v>47</v>
      </c>
      <c r="B8" s="23">
        <v>6.71</v>
      </c>
      <c r="C8" s="23">
        <v>9.5399999999999991</v>
      </c>
      <c r="D8" s="23">
        <v>26.84</v>
      </c>
      <c r="E8" s="23">
        <v>49.11</v>
      </c>
      <c r="F8" s="23">
        <v>226.6</v>
      </c>
      <c r="G8" s="23">
        <v>168.97</v>
      </c>
      <c r="H8" s="23">
        <v>499.14</v>
      </c>
      <c r="I8" s="23">
        <v>515.38</v>
      </c>
      <c r="J8" s="23">
        <v>949</v>
      </c>
      <c r="K8" s="24">
        <v>1324</v>
      </c>
      <c r="L8" s="24">
        <v>1903</v>
      </c>
    </row>
    <row r="9" spans="1:12" collapsed="1">
      <c r="A9" s="19" t="s">
        <v>48</v>
      </c>
      <c r="B9" s="20">
        <v>45.18</v>
      </c>
      <c r="C9" s="20">
        <v>50.08</v>
      </c>
      <c r="D9" s="20">
        <v>268.5</v>
      </c>
      <c r="E9" s="20">
        <v>340.36</v>
      </c>
      <c r="F9" s="20">
        <v>953.68</v>
      </c>
      <c r="G9" s="21">
        <v>1277.8399999999999</v>
      </c>
      <c r="H9" s="21">
        <v>2067.4499999999998</v>
      </c>
      <c r="I9" s="21">
        <v>2263.54</v>
      </c>
      <c r="J9" s="21">
        <v>3113</v>
      </c>
      <c r="K9" s="21">
        <v>3552</v>
      </c>
      <c r="L9" s="21">
        <v>4101</v>
      </c>
    </row>
    <row r="10" spans="1:12">
      <c r="A10" s="19" t="s">
        <v>175</v>
      </c>
      <c r="B10" s="20">
        <v>10.84</v>
      </c>
      <c r="C10" s="20">
        <v>9.41</v>
      </c>
      <c r="D10" s="20">
        <v>8.44</v>
      </c>
      <c r="E10" s="20">
        <v>27.57</v>
      </c>
      <c r="F10" s="20">
        <v>76.13</v>
      </c>
      <c r="G10" s="20">
        <v>108.37</v>
      </c>
      <c r="H10" s="20">
        <v>194.47</v>
      </c>
      <c r="I10" s="20">
        <v>268.37</v>
      </c>
      <c r="J10" s="20">
        <v>366</v>
      </c>
      <c r="K10" s="20">
        <v>713</v>
      </c>
      <c r="L10" s="21">
        <v>1091</v>
      </c>
    </row>
    <row r="11" spans="1:12">
      <c r="A11" s="19" t="s">
        <v>176</v>
      </c>
      <c r="B11" s="20">
        <v>73.599999999999994</v>
      </c>
      <c r="C11" s="20">
        <v>23.48</v>
      </c>
      <c r="D11" s="20">
        <v>19.09</v>
      </c>
      <c r="E11" s="20">
        <v>3.01</v>
      </c>
      <c r="F11" s="20">
        <v>17.95</v>
      </c>
      <c r="G11" s="20">
        <v>22.63</v>
      </c>
      <c r="H11" s="20">
        <v>105.52</v>
      </c>
      <c r="I11" s="20">
        <v>155.32</v>
      </c>
      <c r="J11" s="20">
        <v>193</v>
      </c>
      <c r="K11" s="20">
        <v>246</v>
      </c>
      <c r="L11" s="20">
        <v>238</v>
      </c>
    </row>
    <row r="12" spans="1:12" hidden="1" outlineLevel="1">
      <c r="A12" s="19" t="s">
        <v>49</v>
      </c>
      <c r="B12" s="37"/>
      <c r="C12" s="37"/>
      <c r="D12" s="37"/>
      <c r="E12" s="37"/>
      <c r="F12" s="37"/>
      <c r="G12" s="20">
        <v>7.3</v>
      </c>
      <c r="H12" s="37"/>
      <c r="I12" s="37"/>
      <c r="J12" s="37"/>
      <c r="K12" s="37"/>
      <c r="L12" s="37"/>
    </row>
    <row r="13" spans="1:12" collapsed="1">
      <c r="A13" s="22" t="s">
        <v>50</v>
      </c>
      <c r="B13" s="23">
        <v>235.89</v>
      </c>
      <c r="C13" s="23">
        <v>372.84</v>
      </c>
      <c r="D13" s="23">
        <v>524.77</v>
      </c>
      <c r="E13" s="24">
        <v>1265.94</v>
      </c>
      <c r="F13" s="24">
        <v>3180.07</v>
      </c>
      <c r="G13" s="24">
        <v>2782.01</v>
      </c>
      <c r="H13" s="24">
        <v>6259.8</v>
      </c>
      <c r="I13" s="24">
        <v>6570.52</v>
      </c>
      <c r="J13" s="24">
        <v>8307</v>
      </c>
      <c r="K13" s="24">
        <v>12103</v>
      </c>
      <c r="L13" s="24">
        <v>26717</v>
      </c>
    </row>
    <row r="14" spans="1:12" hidden="1" outlineLevel="1">
      <c r="A14" s="19" t="s">
        <v>51</v>
      </c>
      <c r="B14" s="20">
        <v>144.99</v>
      </c>
      <c r="C14" s="20">
        <v>344.39</v>
      </c>
      <c r="D14" s="20">
        <v>623.14</v>
      </c>
      <c r="E14" s="21">
        <v>1280.56</v>
      </c>
      <c r="F14" s="21">
        <v>2971.7</v>
      </c>
      <c r="G14" s="21">
        <v>5982.36</v>
      </c>
      <c r="H14" s="21">
        <v>16454.060000000001</v>
      </c>
      <c r="I14" s="21">
        <v>23168.82</v>
      </c>
      <c r="J14" s="21">
        <v>23344</v>
      </c>
      <c r="K14" s="21">
        <v>25062</v>
      </c>
      <c r="L14" s="21">
        <v>29893</v>
      </c>
    </row>
    <row r="15" spans="1:12" hidden="1" outlineLevel="1">
      <c r="A15" s="19" t="s">
        <v>52</v>
      </c>
      <c r="B15" s="27">
        <v>-22.39</v>
      </c>
      <c r="C15" s="27">
        <v>-34.22</v>
      </c>
      <c r="D15" s="27">
        <v>-60.84</v>
      </c>
      <c r="E15" s="27">
        <v>-159.63999999999999</v>
      </c>
      <c r="F15" s="27">
        <v>-375.69</v>
      </c>
      <c r="G15" s="27">
        <v>-787.63</v>
      </c>
      <c r="H15" s="28">
        <v>-1417.14</v>
      </c>
      <c r="I15" s="28">
        <v>-2677.2</v>
      </c>
      <c r="J15" s="28">
        <v>-3653</v>
      </c>
      <c r="K15" s="28">
        <v>-4863</v>
      </c>
      <c r="L15" s="28">
        <v>-6518</v>
      </c>
    </row>
    <row r="16" spans="1:12" collapsed="1">
      <c r="A16" s="22" t="s">
        <v>53</v>
      </c>
      <c r="B16" s="23">
        <v>122.6</v>
      </c>
      <c r="C16" s="23">
        <v>310.17</v>
      </c>
      <c r="D16" s="23">
        <v>562.29999999999995</v>
      </c>
      <c r="E16" s="24">
        <v>1120.92</v>
      </c>
      <c r="F16" s="24">
        <v>2596.0100000000002</v>
      </c>
      <c r="G16" s="24">
        <v>5194.74</v>
      </c>
      <c r="H16" s="24">
        <v>15036.92</v>
      </c>
      <c r="I16" s="24">
        <v>20491.62</v>
      </c>
      <c r="J16" s="24">
        <v>19691</v>
      </c>
      <c r="K16" s="24">
        <v>20199</v>
      </c>
      <c r="L16" s="24">
        <v>23375</v>
      </c>
    </row>
    <row r="17" spans="1:12">
      <c r="A17" s="19" t="s">
        <v>54</v>
      </c>
      <c r="B17" s="37"/>
      <c r="C17" s="37"/>
      <c r="D17" s="37"/>
      <c r="E17" s="37"/>
      <c r="F17" s="37"/>
      <c r="G17" s="37"/>
      <c r="H17" s="37"/>
      <c r="I17" s="20">
        <v>5.3</v>
      </c>
      <c r="J17" s="20">
        <v>12</v>
      </c>
      <c r="K17" s="20">
        <v>1</v>
      </c>
      <c r="L17" s="37"/>
    </row>
    <row r="18" spans="1:12">
      <c r="A18" s="19" t="s">
        <v>55</v>
      </c>
      <c r="B18" s="37"/>
      <c r="C18" s="37"/>
      <c r="D18" s="37"/>
      <c r="E18" s="37"/>
      <c r="F18" s="37"/>
      <c r="G18" s="37"/>
      <c r="H18" s="37"/>
      <c r="I18" s="20">
        <v>60.24</v>
      </c>
      <c r="J18" s="20">
        <v>68</v>
      </c>
      <c r="K18" s="20">
        <v>198</v>
      </c>
      <c r="L18" s="20">
        <v>207</v>
      </c>
    </row>
    <row r="19" spans="1:12">
      <c r="A19" s="19" t="s">
        <v>56</v>
      </c>
      <c r="B19" s="20">
        <v>14.51</v>
      </c>
      <c r="C19" s="20">
        <v>14.51</v>
      </c>
      <c r="D19" s="20">
        <v>14.27</v>
      </c>
      <c r="E19" s="37"/>
      <c r="F19" s="37"/>
      <c r="G19" s="20">
        <v>12.82</v>
      </c>
      <c r="H19" s="20">
        <v>376.15</v>
      </c>
      <c r="I19" s="20">
        <v>361.5</v>
      </c>
      <c r="J19" s="20">
        <v>282</v>
      </c>
      <c r="K19" s="20">
        <v>339</v>
      </c>
      <c r="L19" s="20">
        <v>313</v>
      </c>
    </row>
    <row r="20" spans="1:12">
      <c r="A20" s="19" t="s">
        <v>177</v>
      </c>
      <c r="B20" s="37"/>
      <c r="C20" s="37"/>
      <c r="D20" s="37"/>
      <c r="E20" s="37"/>
      <c r="F20" s="37"/>
      <c r="G20" s="37"/>
      <c r="H20" s="20">
        <v>506.3</v>
      </c>
      <c r="I20" s="20">
        <v>456.65</v>
      </c>
      <c r="J20" s="20">
        <v>422</v>
      </c>
      <c r="K20" s="37"/>
      <c r="L20" s="20">
        <v>74</v>
      </c>
    </row>
    <row r="21" spans="1:12" hidden="1" outlineLevel="1">
      <c r="A21" s="19" t="s">
        <v>178</v>
      </c>
      <c r="B21" s="20">
        <v>7.05</v>
      </c>
      <c r="C21" s="20">
        <v>6.41</v>
      </c>
      <c r="D21" s="20">
        <v>5.76</v>
      </c>
      <c r="E21" s="37"/>
      <c r="F21" s="37"/>
      <c r="G21" s="37"/>
      <c r="H21" s="37"/>
      <c r="I21" s="37"/>
      <c r="J21" s="37"/>
      <c r="K21" s="37"/>
      <c r="L21" s="37"/>
    </row>
    <row r="22" spans="1:12" ht="15.75" collapsed="1" thickBot="1">
      <c r="A22" s="19" t="s">
        <v>57</v>
      </c>
      <c r="B22" s="20">
        <v>6.04</v>
      </c>
      <c r="C22" s="20">
        <v>9.52</v>
      </c>
      <c r="D22" s="20">
        <v>7.1</v>
      </c>
      <c r="E22" s="20">
        <v>30.07</v>
      </c>
      <c r="F22" s="20">
        <v>54.58</v>
      </c>
      <c r="G22" s="20">
        <v>78.38</v>
      </c>
      <c r="H22" s="20">
        <v>484.92</v>
      </c>
      <c r="I22" s="20">
        <v>709.54</v>
      </c>
      <c r="J22" s="20">
        <v>958</v>
      </c>
      <c r="K22" s="21">
        <v>1469</v>
      </c>
      <c r="L22" s="21">
        <v>1462</v>
      </c>
    </row>
    <row r="23" spans="1:12" ht="15.75" thickTop="1">
      <c r="A23" s="29" t="s">
        <v>58</v>
      </c>
      <c r="B23" s="30">
        <v>386.08</v>
      </c>
      <c r="C23" s="30">
        <v>713.45</v>
      </c>
      <c r="D23" s="31">
        <v>1114.19</v>
      </c>
      <c r="E23" s="31">
        <v>2416.9299999999998</v>
      </c>
      <c r="F23" s="31">
        <v>5830.67</v>
      </c>
      <c r="G23" s="31">
        <v>8067.94</v>
      </c>
      <c r="H23" s="31">
        <v>22664.080000000002</v>
      </c>
      <c r="I23" s="31">
        <v>28655.37</v>
      </c>
      <c r="J23" s="31">
        <v>29740</v>
      </c>
      <c r="K23" s="31">
        <v>34309</v>
      </c>
      <c r="L23" s="31">
        <v>52148</v>
      </c>
    </row>
    <row r="24" spans="1:12">
      <c r="A24" s="19" t="s">
        <v>59</v>
      </c>
      <c r="B24" s="20">
        <v>28.95</v>
      </c>
      <c r="C24" s="20">
        <v>56.14</v>
      </c>
      <c r="D24" s="20">
        <v>303.38</v>
      </c>
      <c r="E24" s="20">
        <v>303.97000000000003</v>
      </c>
      <c r="F24" s="20">
        <v>777.95</v>
      </c>
      <c r="G24" s="20">
        <v>916.15</v>
      </c>
      <c r="H24" s="21">
        <v>1860.34</v>
      </c>
      <c r="I24" s="21">
        <v>2390.25</v>
      </c>
      <c r="J24" s="21">
        <v>3405</v>
      </c>
      <c r="K24" s="21">
        <v>3771</v>
      </c>
      <c r="L24" s="21">
        <v>6051</v>
      </c>
    </row>
    <row r="25" spans="1:12">
      <c r="A25" s="19" t="s">
        <v>60</v>
      </c>
      <c r="B25" s="20">
        <v>16.53</v>
      </c>
      <c r="C25" s="20">
        <v>29.1</v>
      </c>
      <c r="D25" s="20">
        <v>27.03</v>
      </c>
      <c r="E25" s="20">
        <v>50.27</v>
      </c>
      <c r="F25" s="20">
        <v>123.04</v>
      </c>
      <c r="G25" s="20">
        <v>227.4</v>
      </c>
      <c r="H25" s="20">
        <v>803.81</v>
      </c>
      <c r="I25" s="21">
        <v>1207.26</v>
      </c>
      <c r="J25" s="20">
        <v>921</v>
      </c>
      <c r="K25" s="21">
        <v>1190</v>
      </c>
      <c r="L25" s="21">
        <v>1632</v>
      </c>
    </row>
    <row r="26" spans="1:12">
      <c r="A26" s="19" t="s">
        <v>61</v>
      </c>
      <c r="B26" s="37"/>
      <c r="C26" s="20">
        <v>7.92</v>
      </c>
      <c r="D26" s="20">
        <v>50.84</v>
      </c>
      <c r="E26" s="20">
        <v>0.18</v>
      </c>
      <c r="F26" s="20">
        <v>669.3</v>
      </c>
      <c r="G26" s="20">
        <v>675.21</v>
      </c>
      <c r="H26" s="21">
        <v>1210.96</v>
      </c>
      <c r="I26" s="20">
        <v>963.93</v>
      </c>
      <c r="J26" s="21">
        <v>2284</v>
      </c>
      <c r="K26" s="21">
        <v>1399</v>
      </c>
      <c r="L26" s="21">
        <v>1758</v>
      </c>
    </row>
    <row r="27" spans="1:12">
      <c r="A27" s="19" t="s">
        <v>62</v>
      </c>
      <c r="B27" s="20">
        <v>0.28000000000000003</v>
      </c>
      <c r="C27" s="20">
        <v>1.07</v>
      </c>
      <c r="D27" s="20">
        <v>4.37</v>
      </c>
      <c r="E27" s="20">
        <v>7.72</v>
      </c>
      <c r="F27" s="20">
        <v>21</v>
      </c>
      <c r="G27" s="20">
        <v>1.3</v>
      </c>
      <c r="H27" s="37"/>
      <c r="I27" s="20">
        <v>14.92</v>
      </c>
      <c r="J27" s="20">
        <v>428</v>
      </c>
      <c r="K27" s="20">
        <v>614</v>
      </c>
      <c r="L27" s="20">
        <v>660</v>
      </c>
    </row>
    <row r="28" spans="1:12">
      <c r="A28" s="19" t="s">
        <v>63</v>
      </c>
      <c r="B28" s="20">
        <v>2.69</v>
      </c>
      <c r="C28" s="20">
        <v>0.97</v>
      </c>
      <c r="D28" s="20">
        <v>9.7100000000000009</v>
      </c>
      <c r="E28" s="20">
        <v>38.07</v>
      </c>
      <c r="F28" s="20">
        <v>71.23</v>
      </c>
      <c r="G28" s="20">
        <v>101.21</v>
      </c>
      <c r="H28" s="20">
        <v>152.9</v>
      </c>
      <c r="I28" s="20">
        <v>185.81</v>
      </c>
      <c r="J28" s="20">
        <v>348</v>
      </c>
      <c r="K28" s="20">
        <v>611</v>
      </c>
      <c r="L28" s="20">
        <v>777</v>
      </c>
    </row>
    <row r="29" spans="1:12">
      <c r="A29" s="19" t="s">
        <v>179</v>
      </c>
      <c r="B29" s="20">
        <v>4.6399999999999997</v>
      </c>
      <c r="C29" s="20">
        <v>2.35</v>
      </c>
      <c r="D29" s="20">
        <v>1.91</v>
      </c>
      <c r="E29" s="20">
        <v>91.88</v>
      </c>
      <c r="F29" s="20">
        <v>191.65</v>
      </c>
      <c r="G29" s="20">
        <v>423.96</v>
      </c>
      <c r="H29" s="20">
        <v>763.13</v>
      </c>
      <c r="I29" s="21">
        <v>1015.25</v>
      </c>
      <c r="J29" s="20">
        <v>630</v>
      </c>
      <c r="K29" s="21">
        <v>1163</v>
      </c>
      <c r="L29" s="21">
        <v>1458</v>
      </c>
    </row>
    <row r="30" spans="1:12">
      <c r="A30" s="19" t="s">
        <v>64</v>
      </c>
      <c r="B30" s="20">
        <v>32.479999999999997</v>
      </c>
      <c r="C30" s="20">
        <v>93.81</v>
      </c>
      <c r="D30" s="20">
        <v>141.87</v>
      </c>
      <c r="E30" s="20">
        <v>183.07</v>
      </c>
      <c r="F30" s="20">
        <v>311.2</v>
      </c>
      <c r="G30" s="20">
        <v>513.09</v>
      </c>
      <c r="H30" s="21">
        <v>1044.6500000000001</v>
      </c>
      <c r="I30" s="21">
        <v>1897.32</v>
      </c>
      <c r="J30" s="21">
        <v>1977</v>
      </c>
      <c r="K30" s="21">
        <v>1919</v>
      </c>
      <c r="L30" s="21">
        <v>1912</v>
      </c>
    </row>
    <row r="31" spans="1:12" hidden="1" outlineLevel="1">
      <c r="A31" s="22" t="s">
        <v>65</v>
      </c>
      <c r="B31" s="23">
        <v>85.57</v>
      </c>
      <c r="C31" s="23">
        <v>191.34</v>
      </c>
      <c r="D31" s="23">
        <v>539.11</v>
      </c>
      <c r="E31" s="23">
        <v>675.16</v>
      </c>
      <c r="F31" s="24">
        <v>2165.36</v>
      </c>
      <c r="G31" s="24">
        <v>2858.32</v>
      </c>
      <c r="H31" s="24">
        <v>5835.79</v>
      </c>
      <c r="I31" s="24">
        <v>7674.74</v>
      </c>
      <c r="J31" s="24">
        <v>9993</v>
      </c>
      <c r="K31" s="24">
        <v>10667</v>
      </c>
      <c r="L31" s="24">
        <v>14248</v>
      </c>
    </row>
    <row r="32" spans="1:12" collapsed="1">
      <c r="A32" s="19" t="s">
        <v>66</v>
      </c>
      <c r="B32" s="20">
        <v>71.83</v>
      </c>
      <c r="C32" s="20">
        <v>268.33999999999997</v>
      </c>
      <c r="D32" s="20">
        <v>401.5</v>
      </c>
      <c r="E32" s="20">
        <v>586.12</v>
      </c>
      <c r="F32" s="21">
        <v>1818.79</v>
      </c>
      <c r="G32" s="21">
        <v>2021.09</v>
      </c>
      <c r="H32" s="21">
        <v>6053.86</v>
      </c>
      <c r="I32" s="21">
        <v>9486.25</v>
      </c>
      <c r="J32" s="21">
        <v>8461</v>
      </c>
      <c r="K32" s="21">
        <v>10375</v>
      </c>
      <c r="L32" s="21">
        <v>8571</v>
      </c>
    </row>
    <row r="33" spans="1:12">
      <c r="A33" s="19" t="s">
        <v>67</v>
      </c>
      <c r="B33" s="20">
        <v>0.5</v>
      </c>
      <c r="C33" s="20">
        <v>2.83</v>
      </c>
      <c r="D33" s="20">
        <v>9.9700000000000006</v>
      </c>
      <c r="E33" s="20">
        <v>12.86</v>
      </c>
      <c r="F33" s="20">
        <v>31.4</v>
      </c>
      <c r="G33" s="20">
        <v>201.39</v>
      </c>
      <c r="H33" s="21">
        <v>1323.29</v>
      </c>
      <c r="I33" s="21">
        <v>1665.77</v>
      </c>
      <c r="J33" s="21">
        <v>2655</v>
      </c>
      <c r="K33" s="21">
        <v>2188</v>
      </c>
      <c r="L33" s="21">
        <v>2348</v>
      </c>
    </row>
    <row r="34" spans="1:12">
      <c r="A34" s="19" t="s">
        <v>167</v>
      </c>
      <c r="B34" s="20">
        <v>2.78</v>
      </c>
      <c r="C34" s="20">
        <v>3.15</v>
      </c>
      <c r="D34" s="20">
        <v>3.06</v>
      </c>
      <c r="E34" s="20">
        <v>181.18</v>
      </c>
      <c r="F34" s="20">
        <v>292.27</v>
      </c>
      <c r="G34" s="20">
        <v>446.11</v>
      </c>
      <c r="H34" s="20">
        <v>851.79</v>
      </c>
      <c r="I34" s="21">
        <v>1177.8</v>
      </c>
      <c r="J34" s="20">
        <v>991</v>
      </c>
      <c r="K34" s="21">
        <v>1207</v>
      </c>
      <c r="L34" s="21">
        <v>1284</v>
      </c>
    </row>
    <row r="35" spans="1:12">
      <c r="A35" s="19" t="s">
        <v>68</v>
      </c>
      <c r="B35" s="37"/>
      <c r="C35" s="37"/>
      <c r="D35" s="20">
        <v>0.33</v>
      </c>
      <c r="E35" s="37"/>
      <c r="F35" s="37"/>
      <c r="G35" s="37"/>
      <c r="H35" s="37"/>
      <c r="I35" s="37"/>
      <c r="J35" s="37"/>
      <c r="K35" s="20">
        <v>66</v>
      </c>
      <c r="L35" s="20">
        <v>151</v>
      </c>
    </row>
    <row r="36" spans="1:12" ht="15.75" thickBot="1">
      <c r="A36" s="19" t="s">
        <v>69</v>
      </c>
      <c r="B36" s="20">
        <v>18.36</v>
      </c>
      <c r="C36" s="20">
        <v>23.75</v>
      </c>
      <c r="D36" s="20">
        <v>35.53</v>
      </c>
      <c r="E36" s="20">
        <v>294.5</v>
      </c>
      <c r="F36" s="20">
        <v>611.14</v>
      </c>
      <c r="G36" s="21">
        <v>1457.33</v>
      </c>
      <c r="H36" s="21">
        <v>2694.22</v>
      </c>
      <c r="I36" s="21">
        <v>3018.5</v>
      </c>
      <c r="J36" s="21">
        <v>1327</v>
      </c>
      <c r="K36" s="21">
        <v>1696</v>
      </c>
      <c r="L36" s="21">
        <v>1867</v>
      </c>
    </row>
    <row r="37" spans="1:12" ht="15.75" thickTop="1">
      <c r="A37" s="29" t="s">
        <v>70</v>
      </c>
      <c r="B37" s="30">
        <v>179.03</v>
      </c>
      <c r="C37" s="30">
        <v>489.4</v>
      </c>
      <c r="D37" s="30">
        <v>989.49</v>
      </c>
      <c r="E37" s="31">
        <v>1749.81</v>
      </c>
      <c r="F37" s="31">
        <v>4918.96</v>
      </c>
      <c r="G37" s="31">
        <v>6984.24</v>
      </c>
      <c r="H37" s="31">
        <v>16758.95</v>
      </c>
      <c r="I37" s="31">
        <v>23023.05</v>
      </c>
      <c r="J37" s="31">
        <v>23427</v>
      </c>
      <c r="K37" s="31">
        <v>26199</v>
      </c>
      <c r="L37" s="31">
        <v>28469</v>
      </c>
    </row>
    <row r="38" spans="1:12" hidden="1" outlineLevel="1">
      <c r="A38" s="19" t="s">
        <v>180</v>
      </c>
      <c r="B38" s="37"/>
      <c r="C38" s="37"/>
      <c r="D38" s="37"/>
      <c r="E38" s="37"/>
      <c r="F38" s="37"/>
      <c r="G38" s="37"/>
      <c r="H38" s="37"/>
      <c r="I38" s="37"/>
      <c r="J38" s="37"/>
      <c r="K38" s="37"/>
      <c r="L38" s="37"/>
    </row>
    <row r="39" spans="1:12" hidden="1" outlineLevel="1">
      <c r="A39" s="19" t="s">
        <v>181</v>
      </c>
      <c r="B39" s="37"/>
      <c r="C39" s="37"/>
      <c r="D39" s="37"/>
      <c r="E39" s="37"/>
      <c r="F39" s="37"/>
      <c r="G39" s="37"/>
      <c r="H39" s="37"/>
      <c r="I39" s="37"/>
      <c r="J39" s="37"/>
      <c r="K39" s="37"/>
      <c r="L39" s="37"/>
    </row>
    <row r="40" spans="1:12" hidden="1" outlineLevel="1">
      <c r="A40" s="22" t="s">
        <v>182</v>
      </c>
      <c r="B40" s="44"/>
      <c r="C40" s="44"/>
      <c r="D40" s="44"/>
      <c r="E40" s="44"/>
      <c r="F40" s="44"/>
      <c r="G40" s="44"/>
      <c r="H40" s="44"/>
      <c r="I40" s="44"/>
      <c r="J40" s="44"/>
      <c r="K40" s="44"/>
      <c r="L40" s="44"/>
    </row>
    <row r="41" spans="1:12" collapsed="1">
      <c r="A41" s="19" t="s">
        <v>168</v>
      </c>
      <c r="B41" s="20">
        <v>0.1</v>
      </c>
      <c r="C41" s="20">
        <v>0.1</v>
      </c>
      <c r="D41" s="20">
        <v>0.12</v>
      </c>
      <c r="E41" s="20">
        <v>0.12</v>
      </c>
      <c r="F41" s="20">
        <v>0.13</v>
      </c>
      <c r="G41" s="20">
        <v>0.13</v>
      </c>
      <c r="H41" s="20">
        <v>0.16</v>
      </c>
      <c r="I41" s="20">
        <v>0.17</v>
      </c>
      <c r="J41" s="37"/>
      <c r="K41" s="20">
        <v>1</v>
      </c>
      <c r="L41" s="20">
        <v>1</v>
      </c>
    </row>
    <row r="42" spans="1:12">
      <c r="A42" s="19" t="s">
        <v>71</v>
      </c>
      <c r="B42" s="20">
        <v>621.94000000000005</v>
      </c>
      <c r="C42" s="20">
        <v>893.34</v>
      </c>
      <c r="D42" s="21">
        <v>1190.19</v>
      </c>
      <c r="E42" s="21">
        <v>1806.62</v>
      </c>
      <c r="F42" s="21">
        <v>2345.27</v>
      </c>
      <c r="G42" s="21">
        <v>3409.45</v>
      </c>
      <c r="H42" s="21">
        <v>7773.73</v>
      </c>
      <c r="I42" s="21">
        <v>9178.02</v>
      </c>
      <c r="J42" s="21">
        <v>10249</v>
      </c>
      <c r="K42" s="21">
        <v>12736</v>
      </c>
      <c r="L42" s="21">
        <v>27260</v>
      </c>
    </row>
    <row r="43" spans="1:12">
      <c r="A43" s="19" t="s">
        <v>72</v>
      </c>
      <c r="B43" s="27">
        <v>-414.98</v>
      </c>
      <c r="C43" s="27">
        <v>-669.39</v>
      </c>
      <c r="D43" s="28">
        <v>-1065.6099999999999</v>
      </c>
      <c r="E43" s="28">
        <v>-1139.6199999999999</v>
      </c>
      <c r="F43" s="28">
        <v>-1433.66</v>
      </c>
      <c r="G43" s="28">
        <v>-2322.3200000000002</v>
      </c>
      <c r="H43" s="28">
        <v>-2997.24</v>
      </c>
      <c r="I43" s="28">
        <v>-4974.3</v>
      </c>
      <c r="J43" s="28">
        <v>-5318</v>
      </c>
      <c r="K43" s="28">
        <v>-6083</v>
      </c>
      <c r="L43" s="28">
        <v>-5399</v>
      </c>
    </row>
    <row r="44" spans="1:12">
      <c r="A44" s="19" t="s">
        <v>73</v>
      </c>
      <c r="B44" s="37"/>
      <c r="C44" s="27">
        <v>0</v>
      </c>
      <c r="D44" s="37"/>
      <c r="E44" s="37"/>
      <c r="F44" s="27">
        <v>-0.02</v>
      </c>
      <c r="G44" s="27">
        <v>-3.56</v>
      </c>
      <c r="H44" s="27">
        <v>-23.74</v>
      </c>
      <c r="I44" s="20">
        <v>33.35</v>
      </c>
      <c r="J44" s="27">
        <v>-8</v>
      </c>
      <c r="K44" s="27">
        <v>-36</v>
      </c>
      <c r="L44" s="20">
        <v>363</v>
      </c>
    </row>
    <row r="45" spans="1:12">
      <c r="A45" s="22" t="s">
        <v>74</v>
      </c>
      <c r="B45" s="23">
        <v>207.05</v>
      </c>
      <c r="C45" s="23">
        <v>224.05</v>
      </c>
      <c r="D45" s="23">
        <v>124.7</v>
      </c>
      <c r="E45" s="23">
        <v>667.12</v>
      </c>
      <c r="F45" s="23">
        <v>911.71</v>
      </c>
      <c r="G45" s="24">
        <v>1083.7</v>
      </c>
      <c r="H45" s="24">
        <v>4752.91</v>
      </c>
      <c r="I45" s="24">
        <v>4237.24</v>
      </c>
      <c r="J45" s="24">
        <v>4923</v>
      </c>
      <c r="K45" s="24">
        <v>6618</v>
      </c>
      <c r="L45" s="24">
        <v>22225</v>
      </c>
    </row>
    <row r="46" spans="1:12" ht="15.75" thickBot="1">
      <c r="A46" s="19" t="s">
        <v>166</v>
      </c>
      <c r="B46" s="37"/>
      <c r="C46" s="37"/>
      <c r="D46" s="37"/>
      <c r="E46" s="37"/>
      <c r="F46" s="37"/>
      <c r="G46" s="37"/>
      <c r="H46" s="21">
        <v>1152.21</v>
      </c>
      <c r="I46" s="21">
        <v>1395.08</v>
      </c>
      <c r="J46" s="21">
        <v>1390</v>
      </c>
      <c r="K46" s="21">
        <v>1492</v>
      </c>
      <c r="L46" s="21">
        <v>1454</v>
      </c>
    </row>
    <row r="47" spans="1:12" ht="16.5" thickTop="1" thickBot="1">
      <c r="A47" s="29" t="s">
        <v>75</v>
      </c>
      <c r="B47" s="30">
        <v>207.05</v>
      </c>
      <c r="C47" s="30">
        <v>224.05</v>
      </c>
      <c r="D47" s="30">
        <v>124.7</v>
      </c>
      <c r="E47" s="30">
        <v>667.12</v>
      </c>
      <c r="F47" s="30">
        <v>911.71</v>
      </c>
      <c r="G47" s="31">
        <v>1083.7</v>
      </c>
      <c r="H47" s="31">
        <v>5905.13</v>
      </c>
      <c r="I47" s="31">
        <v>5632.32</v>
      </c>
      <c r="J47" s="31">
        <v>6313</v>
      </c>
      <c r="K47" s="31">
        <v>8110</v>
      </c>
      <c r="L47" s="31">
        <v>23679</v>
      </c>
    </row>
    <row r="48" spans="1:12" ht="15.75" thickTop="1">
      <c r="A48" s="29" t="s">
        <v>76</v>
      </c>
      <c r="B48" s="30">
        <v>386.08</v>
      </c>
      <c r="C48" s="30">
        <v>713.45</v>
      </c>
      <c r="D48" s="31">
        <v>1114.19</v>
      </c>
      <c r="E48" s="31">
        <v>2416.9299999999998</v>
      </c>
      <c r="F48" s="31">
        <v>5830.67</v>
      </c>
      <c r="G48" s="31">
        <v>8067.94</v>
      </c>
      <c r="H48" s="31">
        <v>22664.080000000002</v>
      </c>
      <c r="I48" s="31">
        <v>28655.37</v>
      </c>
      <c r="J48" s="31">
        <v>29740</v>
      </c>
      <c r="K48" s="31">
        <v>34309</v>
      </c>
      <c r="L48" s="31">
        <v>52148</v>
      </c>
    </row>
    <row r="49" spans="1:12">
      <c r="A49" s="38" t="s">
        <v>33</v>
      </c>
      <c r="B49" s="1"/>
      <c r="C49" s="1"/>
      <c r="D49" s="1"/>
      <c r="E49" s="1"/>
      <c r="F49" s="1"/>
      <c r="G49" s="1"/>
      <c r="H49" s="1"/>
      <c r="I49" s="1"/>
      <c r="J49" s="1"/>
      <c r="K49" s="1"/>
      <c r="L49" s="1"/>
    </row>
    <row r="50" spans="1:12">
      <c r="A50" s="19" t="s">
        <v>77</v>
      </c>
      <c r="B50" s="20">
        <v>476.68</v>
      </c>
      <c r="C50" s="20">
        <v>523.02</v>
      </c>
      <c r="D50" s="20">
        <v>572.59</v>
      </c>
      <c r="E50" s="20">
        <v>615.96</v>
      </c>
      <c r="F50" s="20">
        <v>628.80999999999995</v>
      </c>
      <c r="G50" s="20">
        <v>660.28</v>
      </c>
      <c r="H50" s="20">
        <v>808.35</v>
      </c>
      <c r="I50" s="20">
        <v>844.6</v>
      </c>
      <c r="J50" s="20">
        <v>863.61</v>
      </c>
      <c r="K50" s="20">
        <v>906.71</v>
      </c>
      <c r="L50" s="20">
        <v>959.85</v>
      </c>
    </row>
    <row r="51" spans="1:12">
      <c r="A51" s="19" t="s">
        <v>78</v>
      </c>
      <c r="B51" s="20">
        <v>0.44</v>
      </c>
      <c r="C51" s="20">
        <v>0.43</v>
      </c>
      <c r="D51" s="20">
        <v>0.22</v>
      </c>
      <c r="E51" s="20">
        <v>1.08</v>
      </c>
      <c r="F51" s="20">
        <v>1.45</v>
      </c>
      <c r="G51" s="20">
        <v>1.65</v>
      </c>
      <c r="H51" s="20">
        <v>5.88</v>
      </c>
      <c r="I51" s="20">
        <v>5.0199999999999996</v>
      </c>
      <c r="J51" s="20">
        <v>5.7</v>
      </c>
      <c r="K51" s="20">
        <v>7.31</v>
      </c>
      <c r="L51" s="20">
        <v>23.15</v>
      </c>
    </row>
    <row r="52" spans="1:12">
      <c r="A52" s="19" t="s">
        <v>79</v>
      </c>
      <c r="B52" s="20">
        <v>192.54</v>
      </c>
      <c r="C52" s="20">
        <v>209.54</v>
      </c>
      <c r="D52" s="20">
        <v>110.43</v>
      </c>
      <c r="E52" s="20">
        <v>667.12</v>
      </c>
      <c r="F52" s="20">
        <v>911.71</v>
      </c>
      <c r="G52" s="21">
        <v>1070.8900000000001</v>
      </c>
      <c r="H52" s="21">
        <v>4376.7700000000004</v>
      </c>
      <c r="I52" s="21">
        <v>3815.5</v>
      </c>
      <c r="J52" s="21">
        <v>4573</v>
      </c>
      <c r="K52" s="21">
        <v>6081</v>
      </c>
      <c r="L52" s="21">
        <v>21705</v>
      </c>
    </row>
    <row r="53" spans="1:12">
      <c r="A53" s="19" t="s">
        <v>80</v>
      </c>
      <c r="B53" s="20">
        <v>0.41</v>
      </c>
      <c r="C53" s="20">
        <v>0.4</v>
      </c>
      <c r="D53" s="20">
        <v>0.19</v>
      </c>
      <c r="E53" s="20">
        <v>1.08</v>
      </c>
      <c r="F53" s="20">
        <v>1.45</v>
      </c>
      <c r="G53" s="20">
        <v>1.63</v>
      </c>
      <c r="H53" s="20">
        <v>5.42</v>
      </c>
      <c r="I53" s="20">
        <v>4.5199999999999996</v>
      </c>
      <c r="J53" s="20">
        <v>5.3</v>
      </c>
      <c r="K53" s="20">
        <v>6.72</v>
      </c>
      <c r="L53" s="20">
        <v>22.61</v>
      </c>
    </row>
    <row r="54" spans="1:12">
      <c r="A54" s="19" t="s">
        <v>81</v>
      </c>
      <c r="B54" s="20">
        <v>72.599999999999994</v>
      </c>
      <c r="C54" s="20">
        <v>280.14999999999998</v>
      </c>
      <c r="D54" s="20">
        <v>466.67</v>
      </c>
      <c r="E54" s="20">
        <v>606.88</v>
      </c>
      <c r="F54" s="21">
        <v>2540.48</v>
      </c>
      <c r="G54" s="21">
        <v>2898.99</v>
      </c>
      <c r="H54" s="21">
        <v>8588.1200000000008</v>
      </c>
      <c r="I54" s="21">
        <v>12130.86</v>
      </c>
      <c r="J54" s="21">
        <v>13828</v>
      </c>
      <c r="K54" s="21">
        <v>14576</v>
      </c>
      <c r="L54" s="21">
        <v>13337</v>
      </c>
    </row>
    <row r="55" spans="1:12">
      <c r="A55" s="19" t="s">
        <v>82</v>
      </c>
      <c r="B55" s="27">
        <v>-26.96</v>
      </c>
      <c r="C55" s="27">
        <v>-0.18</v>
      </c>
      <c r="D55" s="20">
        <v>264.77999999999997</v>
      </c>
      <c r="E55" s="27">
        <v>-239.01</v>
      </c>
      <c r="F55" s="20">
        <v>634.77</v>
      </c>
      <c r="G55" s="21">
        <v>1702.09</v>
      </c>
      <c r="H55" s="21">
        <v>5194.8999999999996</v>
      </c>
      <c r="I55" s="21">
        <v>8762.9500000000007</v>
      </c>
      <c r="J55" s="21">
        <v>10142</v>
      </c>
      <c r="K55" s="21">
        <v>8308</v>
      </c>
      <c r="L55" s="28">
        <v>-6047</v>
      </c>
    </row>
    <row r="56" spans="1:12">
      <c r="A56" s="19" t="s">
        <v>169</v>
      </c>
      <c r="B56" s="37"/>
      <c r="C56" s="37"/>
      <c r="D56" s="37"/>
      <c r="E56" s="37"/>
      <c r="F56" s="37"/>
      <c r="G56" s="37"/>
      <c r="H56" s="21">
        <v>1152.21</v>
      </c>
      <c r="I56" s="21">
        <v>1395.08</v>
      </c>
      <c r="J56" s="21">
        <v>1390</v>
      </c>
      <c r="K56" s="21">
        <v>1492</v>
      </c>
      <c r="L56" s="21">
        <v>1454</v>
      </c>
    </row>
    <row r="57" spans="1:12">
      <c r="A57" s="19" t="s">
        <v>83</v>
      </c>
      <c r="B57" s="20">
        <v>26.39</v>
      </c>
      <c r="C57" s="20">
        <v>26.39</v>
      </c>
      <c r="D57" s="20">
        <v>26.39</v>
      </c>
      <c r="E57" s="20">
        <v>45.02</v>
      </c>
      <c r="F57" s="20">
        <v>49.48</v>
      </c>
      <c r="G57" s="20">
        <v>521.54</v>
      </c>
      <c r="H57" s="21">
        <v>1079.45</v>
      </c>
      <c r="I57" s="21">
        <v>2517.25</v>
      </c>
      <c r="J57" s="21">
        <v>4047</v>
      </c>
      <c r="K57" s="21">
        <v>3024</v>
      </c>
      <c r="L57" s="21">
        <v>3662</v>
      </c>
    </row>
    <row r="58" spans="1:12">
      <c r="A58" s="19" t="s">
        <v>84</v>
      </c>
      <c r="B58" s="37"/>
      <c r="C58" s="37"/>
      <c r="D58" s="20">
        <v>50.57</v>
      </c>
      <c r="E58" s="20">
        <v>67.709999999999994</v>
      </c>
      <c r="F58" s="20">
        <v>154.36000000000001</v>
      </c>
      <c r="G58" s="37"/>
      <c r="H58" s="37"/>
      <c r="I58" s="37"/>
      <c r="J58" s="37"/>
      <c r="K58" s="37"/>
      <c r="L58" s="37"/>
    </row>
    <row r="59" spans="1:12">
      <c r="A59" s="19" t="s">
        <v>170</v>
      </c>
      <c r="B59" s="20">
        <v>58.92</v>
      </c>
      <c r="C59" s="20">
        <v>227.46</v>
      </c>
      <c r="D59" s="20">
        <v>75.13</v>
      </c>
      <c r="E59" s="20">
        <v>76.290000000000006</v>
      </c>
      <c r="F59" s="20">
        <v>572.13</v>
      </c>
      <c r="G59" s="20">
        <v>693.21</v>
      </c>
      <c r="H59" s="21">
        <v>2608.25</v>
      </c>
      <c r="I59" s="21">
        <v>2785.44</v>
      </c>
      <c r="J59" s="20">
        <v>875</v>
      </c>
      <c r="K59" s="20">
        <v>782</v>
      </c>
      <c r="L59" s="21">
        <v>1649</v>
      </c>
    </row>
    <row r="60" spans="1:12">
      <c r="A60" s="19" t="s">
        <v>85</v>
      </c>
      <c r="B60" s="20">
        <v>899</v>
      </c>
      <c r="C60" s="21">
        <v>1417</v>
      </c>
      <c r="D60" s="21">
        <v>2964</v>
      </c>
      <c r="E60" s="21">
        <v>5859</v>
      </c>
      <c r="F60" s="21">
        <v>10161</v>
      </c>
      <c r="G60" s="21">
        <v>13058</v>
      </c>
      <c r="H60" s="21">
        <v>30025</v>
      </c>
      <c r="I60" s="21">
        <v>37543</v>
      </c>
      <c r="J60" s="21">
        <v>48817</v>
      </c>
      <c r="K60" s="21">
        <v>48016</v>
      </c>
      <c r="L60" s="21">
        <v>70757</v>
      </c>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5089-598C-4441-927D-E5945A0D39CC}">
  <sheetPr>
    <tabColor theme="3" tint="0.79998168889431442"/>
  </sheetPr>
  <dimension ref="A1:N49"/>
  <sheetViews>
    <sheetView zoomScaleNormal="100" workbookViewId="0">
      <selection sqref="A1:L1"/>
    </sheetView>
  </sheetViews>
  <sheetFormatPr defaultRowHeight="15" outlineLevelRow="1"/>
  <cols>
    <col min="1" max="1" width="47.28515625" bestFit="1" customWidth="1"/>
    <col min="2" max="12" width="13.42578125" bestFit="1" customWidth="1"/>
    <col min="14" max="14" width="22" bestFit="1" customWidth="1"/>
  </cols>
  <sheetData>
    <row r="1" spans="1:12">
      <c r="A1" s="524" t="s">
        <v>285</v>
      </c>
      <c r="B1" s="524"/>
      <c r="C1" s="524"/>
      <c r="D1" s="524"/>
      <c r="E1" s="524"/>
      <c r="F1" s="524"/>
      <c r="G1" s="524"/>
      <c r="H1" s="524"/>
      <c r="I1" s="524"/>
      <c r="J1" s="524"/>
      <c r="K1" s="524"/>
      <c r="L1" s="524"/>
    </row>
    <row r="2" spans="1:12">
      <c r="A2" s="17" t="s">
        <v>86</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22" t="s">
        <v>28</v>
      </c>
      <c r="B4" s="35">
        <v>-154.33000000000001</v>
      </c>
      <c r="C4" s="35">
        <v>-254.41</v>
      </c>
      <c r="D4" s="35">
        <v>-396.21</v>
      </c>
      <c r="E4" s="35">
        <v>-74.010000000000005</v>
      </c>
      <c r="F4" s="35">
        <v>-294.04000000000002</v>
      </c>
      <c r="G4" s="35">
        <v>-888.66</v>
      </c>
      <c r="H4" s="35">
        <v>-674.91</v>
      </c>
      <c r="I4" s="36">
        <v>-1962</v>
      </c>
      <c r="J4" s="35">
        <v>-976</v>
      </c>
      <c r="K4" s="35">
        <v>-862</v>
      </c>
      <c r="L4" s="23">
        <v>721</v>
      </c>
    </row>
    <row r="5" spans="1:12" hidden="1" outlineLevel="1">
      <c r="A5" s="19" t="s">
        <v>10</v>
      </c>
      <c r="B5" s="20">
        <v>10.62</v>
      </c>
      <c r="C5" s="20">
        <v>16.920000000000002</v>
      </c>
      <c r="D5" s="20">
        <v>28.83</v>
      </c>
      <c r="E5" s="20">
        <v>106.08</v>
      </c>
      <c r="F5" s="20">
        <v>231.93</v>
      </c>
      <c r="G5" s="20">
        <v>422.59</v>
      </c>
      <c r="H5" s="20">
        <v>947.1</v>
      </c>
      <c r="I5" s="21">
        <v>1596</v>
      </c>
      <c r="J5" s="21">
        <v>1822</v>
      </c>
      <c r="K5" s="21">
        <v>2048</v>
      </c>
      <c r="L5" s="21">
        <v>2271</v>
      </c>
    </row>
    <row r="6" spans="1:12" hidden="1" outlineLevel="1">
      <c r="A6" s="19" t="s">
        <v>11</v>
      </c>
      <c r="B6" s="37"/>
      <c r="C6" s="37"/>
      <c r="D6" s="37"/>
      <c r="E6" s="37"/>
      <c r="F6" s="37"/>
      <c r="G6" s="37"/>
      <c r="H6" s="37"/>
      <c r="I6" s="20">
        <v>40</v>
      </c>
      <c r="J6" s="20">
        <v>66</v>
      </c>
      <c r="K6" s="20">
        <v>44</v>
      </c>
      <c r="L6" s="20">
        <v>51</v>
      </c>
    </row>
    <row r="7" spans="1:12" collapsed="1">
      <c r="A7" s="22" t="s">
        <v>87</v>
      </c>
      <c r="B7" s="23">
        <v>10.62</v>
      </c>
      <c r="C7" s="23">
        <v>16.920000000000002</v>
      </c>
      <c r="D7" s="23">
        <v>28.83</v>
      </c>
      <c r="E7" s="23">
        <v>106.08</v>
      </c>
      <c r="F7" s="23">
        <v>231.93</v>
      </c>
      <c r="G7" s="23">
        <v>422.59</v>
      </c>
      <c r="H7" s="23">
        <v>947.1</v>
      </c>
      <c r="I7" s="24">
        <v>1636</v>
      </c>
      <c r="J7" s="24">
        <v>1888</v>
      </c>
      <c r="K7" s="24">
        <v>2092</v>
      </c>
      <c r="L7" s="24">
        <v>2322</v>
      </c>
    </row>
    <row r="8" spans="1:12">
      <c r="A8" s="19" t="s">
        <v>88</v>
      </c>
      <c r="B8" s="37"/>
      <c r="C8" s="37"/>
      <c r="D8" s="37"/>
      <c r="E8" s="20">
        <v>14.7</v>
      </c>
      <c r="F8" s="20">
        <v>69.73</v>
      </c>
      <c r="G8" s="20">
        <v>78.05</v>
      </c>
      <c r="H8" s="20">
        <v>94.69</v>
      </c>
      <c r="I8" s="20">
        <v>91</v>
      </c>
      <c r="J8" s="20">
        <v>159</v>
      </c>
      <c r="K8" s="20">
        <v>188</v>
      </c>
      <c r="L8" s="20">
        <v>180</v>
      </c>
    </row>
    <row r="9" spans="1:12">
      <c r="A9" s="19" t="s">
        <v>89</v>
      </c>
      <c r="B9" s="37"/>
      <c r="C9" s="37"/>
      <c r="D9" s="37"/>
      <c r="E9" s="37"/>
      <c r="F9" s="20">
        <v>14.18</v>
      </c>
      <c r="G9" s="20">
        <v>37.72</v>
      </c>
      <c r="H9" s="20">
        <v>34.630000000000003</v>
      </c>
      <c r="I9" s="20">
        <v>106</v>
      </c>
      <c r="J9" s="20">
        <v>162</v>
      </c>
      <c r="K9" s="20">
        <v>146</v>
      </c>
      <c r="L9" s="20">
        <v>117</v>
      </c>
    </row>
    <row r="10" spans="1:12">
      <c r="A10" s="19" t="s">
        <v>90</v>
      </c>
      <c r="B10" s="20">
        <v>0.01</v>
      </c>
      <c r="C10" s="37"/>
      <c r="D10" s="37"/>
      <c r="E10" s="37"/>
      <c r="F10" s="37"/>
      <c r="G10" s="37"/>
      <c r="H10" s="37"/>
      <c r="I10" s="37"/>
      <c r="J10" s="20">
        <v>13</v>
      </c>
      <c r="K10" s="20">
        <v>62</v>
      </c>
      <c r="L10" s="37"/>
    </row>
    <row r="11" spans="1:12">
      <c r="A11" s="19" t="s">
        <v>91</v>
      </c>
      <c r="B11" s="20">
        <v>21.16</v>
      </c>
      <c r="C11" s="20">
        <v>29.42</v>
      </c>
      <c r="D11" s="20">
        <v>50.15</v>
      </c>
      <c r="E11" s="20">
        <v>80.739999999999995</v>
      </c>
      <c r="F11" s="20">
        <v>156.5</v>
      </c>
      <c r="G11" s="20">
        <v>198</v>
      </c>
      <c r="H11" s="20">
        <v>334.23</v>
      </c>
      <c r="I11" s="20">
        <v>467</v>
      </c>
      <c r="J11" s="20">
        <v>749</v>
      </c>
      <c r="K11" s="20">
        <v>898</v>
      </c>
      <c r="L11" s="21">
        <v>1734</v>
      </c>
    </row>
    <row r="12" spans="1:12" hidden="1" outlineLevel="1">
      <c r="A12" s="19" t="s">
        <v>92</v>
      </c>
      <c r="B12" s="27">
        <v>-7.0000000000000007E-2</v>
      </c>
      <c r="C12" s="37"/>
      <c r="D12" s="37"/>
      <c r="E12" s="37"/>
      <c r="F12" s="37"/>
      <c r="G12" s="37"/>
      <c r="H12" s="37"/>
      <c r="I12" s="37"/>
      <c r="J12" s="37"/>
      <c r="K12" s="37"/>
      <c r="L12" s="37"/>
    </row>
    <row r="13" spans="1:12" collapsed="1">
      <c r="A13" s="19" t="s">
        <v>93</v>
      </c>
      <c r="B13" s="20">
        <v>5.97</v>
      </c>
      <c r="C13" s="20">
        <v>4.8099999999999996</v>
      </c>
      <c r="D13" s="20">
        <v>8.49</v>
      </c>
      <c r="E13" s="27">
        <v>-11.66</v>
      </c>
      <c r="F13" s="20">
        <v>21.19</v>
      </c>
      <c r="G13" s="20">
        <v>121.09</v>
      </c>
      <c r="H13" s="27">
        <v>-165.7</v>
      </c>
      <c r="I13" s="20">
        <v>98</v>
      </c>
      <c r="J13" s="20">
        <v>45</v>
      </c>
      <c r="K13" s="20">
        <v>230</v>
      </c>
      <c r="L13" s="20">
        <v>685</v>
      </c>
    </row>
    <row r="14" spans="1:12">
      <c r="A14" s="19" t="s">
        <v>94</v>
      </c>
      <c r="B14" s="27">
        <v>-3.22</v>
      </c>
      <c r="C14" s="27">
        <v>-2.83</v>
      </c>
      <c r="D14" s="27">
        <v>-17.3</v>
      </c>
      <c r="E14" s="27">
        <v>-21.71</v>
      </c>
      <c r="F14" s="27">
        <v>-183.66</v>
      </c>
      <c r="G14" s="20">
        <v>46.27</v>
      </c>
      <c r="H14" s="27">
        <v>-216.57</v>
      </c>
      <c r="I14" s="27">
        <v>-25</v>
      </c>
      <c r="J14" s="27">
        <v>-497</v>
      </c>
      <c r="K14" s="27">
        <v>-367</v>
      </c>
      <c r="L14" s="27">
        <v>-652</v>
      </c>
    </row>
    <row r="15" spans="1:12">
      <c r="A15" s="19" t="s">
        <v>95</v>
      </c>
      <c r="B15" s="27">
        <v>-28.51</v>
      </c>
      <c r="C15" s="27">
        <v>-13.64</v>
      </c>
      <c r="D15" s="27">
        <v>-194.73</v>
      </c>
      <c r="E15" s="27">
        <v>-460.56</v>
      </c>
      <c r="F15" s="28">
        <v>-1050.26</v>
      </c>
      <c r="G15" s="27">
        <v>-369.36</v>
      </c>
      <c r="H15" s="27">
        <v>-632.87</v>
      </c>
      <c r="I15" s="27">
        <v>-179</v>
      </c>
      <c r="J15" s="28">
        <v>-1023</v>
      </c>
      <c r="K15" s="27">
        <v>-429</v>
      </c>
      <c r="L15" s="27">
        <v>-422</v>
      </c>
    </row>
    <row r="16" spans="1:12">
      <c r="A16" s="19" t="s">
        <v>96</v>
      </c>
      <c r="B16" s="27">
        <v>-0.21</v>
      </c>
      <c r="C16" s="20">
        <v>19.89</v>
      </c>
      <c r="D16" s="20">
        <v>189.94</v>
      </c>
      <c r="E16" s="20">
        <v>87.41</v>
      </c>
      <c r="F16" s="20">
        <v>414.86</v>
      </c>
      <c r="G16" s="20">
        <v>263.35000000000002</v>
      </c>
      <c r="H16" s="20">
        <v>750.64</v>
      </c>
      <c r="I16" s="20">
        <v>388</v>
      </c>
      <c r="J16" s="21">
        <v>1797</v>
      </c>
      <c r="K16" s="20">
        <v>646</v>
      </c>
      <c r="L16" s="21">
        <v>2102</v>
      </c>
    </row>
    <row r="17" spans="1:14">
      <c r="A17" s="19" t="s">
        <v>97</v>
      </c>
      <c r="B17" s="20">
        <v>4.8</v>
      </c>
      <c r="C17" s="27">
        <v>-1.93</v>
      </c>
      <c r="D17" s="27">
        <v>-0.53</v>
      </c>
      <c r="E17" s="20">
        <v>268.10000000000002</v>
      </c>
      <c r="F17" s="20">
        <v>209.68</v>
      </c>
      <c r="G17" s="20">
        <v>322.2</v>
      </c>
      <c r="H17" s="20">
        <v>382.96</v>
      </c>
      <c r="I17" s="20">
        <v>469</v>
      </c>
      <c r="J17" s="20">
        <v>406</v>
      </c>
      <c r="K17" s="20">
        <v>801</v>
      </c>
      <c r="L17" s="20">
        <v>321</v>
      </c>
      <c r="N17" s="15"/>
    </row>
    <row r="18" spans="1:14" ht="15.75" thickBot="1">
      <c r="A18" s="19" t="s">
        <v>98</v>
      </c>
      <c r="B18" s="20">
        <v>15.97</v>
      </c>
      <c r="C18" s="20">
        <v>73.73</v>
      </c>
      <c r="D18" s="20">
        <v>67.55</v>
      </c>
      <c r="E18" s="20">
        <v>275.70999999999998</v>
      </c>
      <c r="F18" s="20">
        <v>352.56</v>
      </c>
      <c r="G18" s="27">
        <v>-755.74</v>
      </c>
      <c r="H18" s="27">
        <v>-978.03</v>
      </c>
      <c r="I18" s="28">
        <v>-1150</v>
      </c>
      <c r="J18" s="27">
        <v>-625</v>
      </c>
      <c r="K18" s="28">
        <v>-1000</v>
      </c>
      <c r="L18" s="28">
        <v>-1165</v>
      </c>
    </row>
    <row r="19" spans="1:14" ht="15.75" thickTop="1">
      <c r="A19" s="29" t="s">
        <v>99</v>
      </c>
      <c r="B19" s="33">
        <v>-127.82</v>
      </c>
      <c r="C19" s="33">
        <v>-128.03</v>
      </c>
      <c r="D19" s="33">
        <v>-263.82</v>
      </c>
      <c r="E19" s="30">
        <v>264.8</v>
      </c>
      <c r="F19" s="33">
        <v>-57.34</v>
      </c>
      <c r="G19" s="33">
        <v>-524.5</v>
      </c>
      <c r="H19" s="33">
        <v>-123.83</v>
      </c>
      <c r="I19" s="33">
        <v>-61</v>
      </c>
      <c r="J19" s="31">
        <v>2098</v>
      </c>
      <c r="K19" s="31">
        <v>2405</v>
      </c>
      <c r="L19" s="31">
        <v>5943</v>
      </c>
    </row>
    <row r="20" spans="1:14">
      <c r="A20" s="39" t="s">
        <v>100</v>
      </c>
      <c r="B20" s="45">
        <v>-11.18</v>
      </c>
      <c r="C20" s="46">
        <v>75.23</v>
      </c>
      <c r="D20" s="46">
        <v>44.94</v>
      </c>
      <c r="E20" s="46">
        <v>148.96</v>
      </c>
      <c r="F20" s="45">
        <v>-256.83</v>
      </c>
      <c r="G20" s="45">
        <v>-493.29</v>
      </c>
      <c r="H20" s="45">
        <v>-693.86</v>
      </c>
      <c r="I20" s="45">
        <v>-497</v>
      </c>
      <c r="J20" s="46">
        <v>58</v>
      </c>
      <c r="K20" s="45">
        <v>-349</v>
      </c>
      <c r="L20" s="46">
        <v>184</v>
      </c>
      <c r="N20" s="48"/>
    </row>
    <row r="21" spans="1:14">
      <c r="A21" s="19" t="s">
        <v>101</v>
      </c>
      <c r="B21" s="27">
        <v>-40.200000000000003</v>
      </c>
      <c r="C21" s="27">
        <v>-184.23</v>
      </c>
      <c r="D21" s="27">
        <v>-239.23</v>
      </c>
      <c r="E21" s="27">
        <v>-264.22000000000003</v>
      </c>
      <c r="F21" s="27">
        <v>-969.89</v>
      </c>
      <c r="G21" s="28">
        <v>-1634.85</v>
      </c>
      <c r="H21" s="28">
        <v>-1440.47</v>
      </c>
      <c r="I21" s="28">
        <v>-4081</v>
      </c>
      <c r="J21" s="28">
        <v>-2319</v>
      </c>
      <c r="K21" s="28">
        <v>-1432</v>
      </c>
      <c r="L21" s="28">
        <v>-3232</v>
      </c>
      <c r="N21" s="48"/>
    </row>
    <row r="22" spans="1:14" s="49" customFormat="1">
      <c r="A22" s="19" t="s">
        <v>188</v>
      </c>
      <c r="B22" s="50">
        <f>-B21/IS!B4</f>
        <v>0.34435497687168071</v>
      </c>
      <c r="C22" s="50">
        <f>-C21/IS!C4</f>
        <v>0.90202702702702697</v>
      </c>
      <c r="D22" s="50">
        <f>-D21/IS!D4</f>
        <v>0.57888496346125928</v>
      </c>
      <c r="E22" s="50">
        <f>-E21/IS!E4</f>
        <v>0.13122423640427119</v>
      </c>
      <c r="F22" s="50">
        <f>-F21/IS!F4</f>
        <v>0.30324603859477983</v>
      </c>
      <c r="G22" s="50">
        <f>-G21/IS!G4</f>
        <v>0.404062747928216</v>
      </c>
      <c r="H22" s="50">
        <f>-H21/IS!H4</f>
        <v>0.2057776069872988</v>
      </c>
      <c r="I22" s="50">
        <f>-I21/IS!I4</f>
        <v>0.34705332086061741</v>
      </c>
      <c r="J22" s="50">
        <f>-J21/IS!J4</f>
        <v>0.1080564745352034</v>
      </c>
      <c r="K22" s="50">
        <f>-K21/IS!K4</f>
        <v>5.8263487671901704E-2</v>
      </c>
      <c r="L22" s="50">
        <f>-L21/IS!L4</f>
        <v>0.10248604769152714</v>
      </c>
    </row>
    <row r="23" spans="1:14">
      <c r="A23" s="19" t="s">
        <v>102</v>
      </c>
      <c r="B23" s="27">
        <v>-65.209999999999994</v>
      </c>
      <c r="C23" s="37"/>
      <c r="D23" s="37"/>
      <c r="E23" s="37"/>
      <c r="F23" s="37"/>
      <c r="G23" s="27">
        <v>-12.26</v>
      </c>
      <c r="H23" s="20">
        <v>342.72</v>
      </c>
      <c r="I23" s="27">
        <v>-115</v>
      </c>
      <c r="J23" s="27">
        <v>-18</v>
      </c>
      <c r="K23" s="27">
        <v>-45</v>
      </c>
      <c r="L23" s="27">
        <v>-13</v>
      </c>
      <c r="N23" s="48"/>
    </row>
    <row r="24" spans="1:14">
      <c r="A24" s="19" t="s">
        <v>171</v>
      </c>
      <c r="B24" s="37"/>
      <c r="C24" s="37"/>
      <c r="D24" s="37"/>
      <c r="E24" s="37"/>
      <c r="F24" s="37"/>
      <c r="G24" s="37"/>
      <c r="H24" s="37"/>
      <c r="I24" s="37"/>
      <c r="J24" s="37"/>
      <c r="K24" s="27">
        <v>-5</v>
      </c>
      <c r="L24" s="27">
        <v>-10</v>
      </c>
      <c r="N24" s="48"/>
    </row>
    <row r="25" spans="1:14" hidden="1" outlineLevel="1">
      <c r="A25" s="19" t="s">
        <v>103</v>
      </c>
      <c r="B25" s="37"/>
      <c r="C25" s="27">
        <v>-24.95</v>
      </c>
      <c r="D25" s="20">
        <v>25.01</v>
      </c>
      <c r="E25" s="37"/>
      <c r="F25" s="27">
        <v>-16.71</v>
      </c>
      <c r="G25" s="37"/>
      <c r="H25" s="20">
        <v>16.670000000000002</v>
      </c>
      <c r="I25" s="37"/>
      <c r="J25" s="37"/>
      <c r="K25" s="37"/>
      <c r="L25" s="37"/>
      <c r="N25" s="48"/>
    </row>
    <row r="26" spans="1:14" ht="15.75" collapsed="1" thickBot="1">
      <c r="A26" s="19" t="s">
        <v>104</v>
      </c>
      <c r="B26" s="27">
        <v>-74.88</v>
      </c>
      <c r="C26" s="20">
        <v>46.92</v>
      </c>
      <c r="D26" s="20">
        <v>7.29</v>
      </c>
      <c r="E26" s="20">
        <v>14.81</v>
      </c>
      <c r="F26" s="27">
        <v>-3.85</v>
      </c>
      <c r="G26" s="27">
        <v>-26.44</v>
      </c>
      <c r="H26" s="37"/>
      <c r="I26" s="37"/>
      <c r="J26" s="37"/>
      <c r="K26" s="20">
        <v>46</v>
      </c>
      <c r="L26" s="20">
        <v>123</v>
      </c>
      <c r="N26" s="48"/>
    </row>
    <row r="27" spans="1:14" ht="15.75" thickTop="1">
      <c r="A27" s="29" t="s">
        <v>105</v>
      </c>
      <c r="B27" s="33">
        <v>-180.3</v>
      </c>
      <c r="C27" s="33">
        <v>-162.26</v>
      </c>
      <c r="D27" s="33">
        <v>-206.93</v>
      </c>
      <c r="E27" s="33">
        <v>-249.42</v>
      </c>
      <c r="F27" s="33">
        <v>-990.44</v>
      </c>
      <c r="G27" s="34">
        <v>-1673.55</v>
      </c>
      <c r="H27" s="34">
        <v>-1081.0899999999999</v>
      </c>
      <c r="I27" s="34">
        <v>-4196</v>
      </c>
      <c r="J27" s="34">
        <v>-2337</v>
      </c>
      <c r="K27" s="34">
        <v>-1436</v>
      </c>
      <c r="L27" s="34">
        <v>-3132</v>
      </c>
      <c r="N27" s="48"/>
    </row>
    <row r="28" spans="1:14">
      <c r="A28" s="19" t="s">
        <v>106</v>
      </c>
      <c r="B28" s="20">
        <v>71.83</v>
      </c>
      <c r="C28" s="20">
        <v>204.42</v>
      </c>
      <c r="D28" s="20">
        <v>188.8</v>
      </c>
      <c r="E28" s="20">
        <v>660</v>
      </c>
      <c r="F28" s="21">
        <v>2303.27</v>
      </c>
      <c r="G28" s="20">
        <v>887.72</v>
      </c>
      <c r="H28" s="21">
        <v>3622.67</v>
      </c>
      <c r="I28" s="21">
        <v>7649</v>
      </c>
      <c r="J28" s="21">
        <v>6176</v>
      </c>
      <c r="K28" s="21">
        <v>10669</v>
      </c>
      <c r="L28" s="21">
        <v>9713</v>
      </c>
    </row>
    <row r="29" spans="1:14">
      <c r="A29" s="19" t="s">
        <v>107</v>
      </c>
      <c r="B29" s="27">
        <v>-0.32</v>
      </c>
      <c r="C29" s="27">
        <v>-0.42</v>
      </c>
      <c r="D29" s="27">
        <v>-15.54</v>
      </c>
      <c r="E29" s="27">
        <v>-460.76</v>
      </c>
      <c r="F29" s="27">
        <v>-11.18</v>
      </c>
      <c r="G29" s="27">
        <v>-203.78</v>
      </c>
      <c r="H29" s="28">
        <v>-1904.48</v>
      </c>
      <c r="I29" s="28">
        <v>-4264</v>
      </c>
      <c r="J29" s="28">
        <v>-6087</v>
      </c>
      <c r="K29" s="28">
        <v>-9871</v>
      </c>
      <c r="L29" s="28">
        <v>-12201</v>
      </c>
    </row>
    <row r="30" spans="1:14">
      <c r="A30" s="19" t="s">
        <v>108</v>
      </c>
      <c r="B30" s="20">
        <v>270.19</v>
      </c>
      <c r="C30" s="20">
        <v>241.99</v>
      </c>
      <c r="D30" s="20">
        <v>246.38</v>
      </c>
      <c r="E30" s="20">
        <v>510.31</v>
      </c>
      <c r="F30" s="20">
        <v>100.46</v>
      </c>
      <c r="G30" s="20">
        <v>856.61</v>
      </c>
      <c r="H30" s="21">
        <v>1865.55</v>
      </c>
      <c r="I30" s="20">
        <v>659</v>
      </c>
      <c r="J30" s="20">
        <v>296</v>
      </c>
      <c r="K30" s="21">
        <v>1111</v>
      </c>
      <c r="L30" s="21">
        <v>12686</v>
      </c>
    </row>
    <row r="31" spans="1:14" hidden="1" outlineLevel="1">
      <c r="A31" s="19" t="s">
        <v>183</v>
      </c>
      <c r="B31" s="37"/>
      <c r="C31" s="37"/>
      <c r="D31" s="37"/>
      <c r="E31" s="37"/>
      <c r="F31" s="37"/>
      <c r="G31" s="37"/>
      <c r="H31" s="37"/>
      <c r="I31" s="37"/>
      <c r="J31" s="37"/>
      <c r="K31" s="37"/>
      <c r="L31" s="37"/>
    </row>
    <row r="32" spans="1:14" ht="15.75" collapsed="1" thickBot="1">
      <c r="A32" s="19" t="s">
        <v>109</v>
      </c>
      <c r="B32" s="27">
        <v>-3.66</v>
      </c>
      <c r="C32" s="37"/>
      <c r="D32" s="37"/>
      <c r="E32" s="27">
        <v>-74.12</v>
      </c>
      <c r="F32" s="27">
        <v>-249.42</v>
      </c>
      <c r="G32" s="27">
        <v>-17.03</v>
      </c>
      <c r="H32" s="20">
        <v>160.24</v>
      </c>
      <c r="I32" s="20">
        <v>371</v>
      </c>
      <c r="J32" s="20">
        <v>189</v>
      </c>
      <c r="K32" s="27">
        <v>-380</v>
      </c>
      <c r="L32" s="27">
        <v>-225</v>
      </c>
    </row>
    <row r="33" spans="1:14" ht="15.75" thickTop="1">
      <c r="A33" s="29" t="s">
        <v>110</v>
      </c>
      <c r="B33" s="30">
        <v>338.05</v>
      </c>
      <c r="C33" s="30">
        <v>446</v>
      </c>
      <c r="D33" s="30">
        <v>419.64</v>
      </c>
      <c r="E33" s="30">
        <v>635.41999999999996</v>
      </c>
      <c r="F33" s="31">
        <v>2143.13</v>
      </c>
      <c r="G33" s="31">
        <v>1523.52</v>
      </c>
      <c r="H33" s="31">
        <v>3743.98</v>
      </c>
      <c r="I33" s="31">
        <v>4415</v>
      </c>
      <c r="J33" s="30">
        <v>574</v>
      </c>
      <c r="K33" s="31">
        <v>1529</v>
      </c>
      <c r="L33" s="31">
        <v>9973</v>
      </c>
    </row>
    <row r="34" spans="1:14" ht="15.75" thickBot="1">
      <c r="A34" s="19" t="s">
        <v>111</v>
      </c>
      <c r="B34" s="37"/>
      <c r="C34" s="37"/>
      <c r="D34" s="27">
        <v>-2.27</v>
      </c>
      <c r="E34" s="27">
        <v>-6.81</v>
      </c>
      <c r="F34" s="27">
        <v>-35.53</v>
      </c>
      <c r="G34" s="27">
        <v>-34.28</v>
      </c>
      <c r="H34" s="27">
        <v>-6.55</v>
      </c>
      <c r="I34" s="20">
        <v>40</v>
      </c>
      <c r="J34" s="27">
        <v>-23</v>
      </c>
      <c r="K34" s="20">
        <v>8</v>
      </c>
      <c r="L34" s="20">
        <v>334</v>
      </c>
    </row>
    <row r="35" spans="1:14" ht="15.75" thickTop="1">
      <c r="A35" s="29" t="s">
        <v>112</v>
      </c>
      <c r="B35" s="30">
        <v>29.93</v>
      </c>
      <c r="C35" s="30">
        <v>155.71</v>
      </c>
      <c r="D35" s="33">
        <v>-53.38</v>
      </c>
      <c r="E35" s="30">
        <v>644</v>
      </c>
      <c r="F35" s="31">
        <v>1059.82</v>
      </c>
      <c r="G35" s="33">
        <v>-708.81</v>
      </c>
      <c r="H35" s="31">
        <v>2532.5100000000002</v>
      </c>
      <c r="I35" s="30">
        <v>198</v>
      </c>
      <c r="J35" s="30">
        <v>312</v>
      </c>
      <c r="K35" s="31">
        <v>2506</v>
      </c>
      <c r="L35" s="31">
        <v>13118</v>
      </c>
    </row>
    <row r="36" spans="1:14">
      <c r="A36" s="38" t="s">
        <v>33</v>
      </c>
      <c r="B36" s="1"/>
      <c r="C36" s="1"/>
      <c r="D36" s="1"/>
      <c r="E36" s="1"/>
      <c r="F36" s="1"/>
      <c r="G36" s="1"/>
      <c r="H36" s="1"/>
      <c r="I36" s="1"/>
      <c r="J36" s="1"/>
      <c r="K36" s="1"/>
      <c r="L36" s="1"/>
    </row>
    <row r="37" spans="1:14">
      <c r="A37" s="19" t="s">
        <v>113</v>
      </c>
      <c r="B37" s="20">
        <v>69.63</v>
      </c>
      <c r="C37" s="20">
        <v>99.56</v>
      </c>
      <c r="D37" s="20">
        <v>255.27</v>
      </c>
      <c r="E37" s="20">
        <v>201.89</v>
      </c>
      <c r="F37" s="20">
        <v>845.89</v>
      </c>
      <c r="G37" s="21">
        <v>1905.71</v>
      </c>
      <c r="H37" s="21">
        <v>1234.3900000000001</v>
      </c>
      <c r="I37" s="21">
        <v>3767</v>
      </c>
      <c r="J37" s="21">
        <v>3965</v>
      </c>
      <c r="K37" s="21">
        <v>4277</v>
      </c>
      <c r="L37" s="21">
        <v>6783</v>
      </c>
    </row>
    <row r="38" spans="1:14">
      <c r="A38" s="19" t="s">
        <v>114</v>
      </c>
      <c r="B38" s="20">
        <v>99.56</v>
      </c>
      <c r="C38" s="20">
        <v>255.27</v>
      </c>
      <c r="D38" s="20">
        <v>201.89</v>
      </c>
      <c r="E38" s="20">
        <v>845.89</v>
      </c>
      <c r="F38" s="21">
        <v>1905.71</v>
      </c>
      <c r="G38" s="21">
        <v>1196.9100000000001</v>
      </c>
      <c r="H38" s="21">
        <v>3766.9</v>
      </c>
      <c r="I38" s="21">
        <v>3965</v>
      </c>
      <c r="J38" s="21">
        <v>4277</v>
      </c>
      <c r="K38" s="21">
        <v>6783</v>
      </c>
      <c r="L38" s="21">
        <v>19901</v>
      </c>
    </row>
    <row r="39" spans="1:14">
      <c r="A39" s="19" t="s">
        <v>115</v>
      </c>
      <c r="B39" s="20">
        <v>1.1399999999999999</v>
      </c>
      <c r="C39" s="20">
        <v>3.47</v>
      </c>
      <c r="D39" s="20">
        <v>6.94</v>
      </c>
      <c r="E39" s="20">
        <v>9.0399999999999991</v>
      </c>
      <c r="F39" s="20">
        <v>20.54</v>
      </c>
      <c r="G39" s="20">
        <v>32.06</v>
      </c>
      <c r="H39" s="20">
        <v>38.69</v>
      </c>
      <c r="I39" s="20">
        <v>183</v>
      </c>
      <c r="J39" s="20">
        <v>381</v>
      </c>
      <c r="K39" s="20">
        <v>455</v>
      </c>
      <c r="L39" s="20">
        <v>444</v>
      </c>
    </row>
    <row r="40" spans="1:14">
      <c r="A40" s="19" t="s">
        <v>116</v>
      </c>
      <c r="B40" s="20">
        <v>0.01</v>
      </c>
      <c r="C40" s="20">
        <v>0.28000000000000003</v>
      </c>
      <c r="D40" s="20">
        <v>0.12</v>
      </c>
      <c r="E40" s="20">
        <v>0.26</v>
      </c>
      <c r="F40" s="20">
        <v>3.12</v>
      </c>
      <c r="G40" s="20">
        <v>9.4600000000000009</v>
      </c>
      <c r="H40" s="20">
        <v>16.39</v>
      </c>
      <c r="I40" s="20">
        <v>66</v>
      </c>
      <c r="J40" s="20">
        <v>35</v>
      </c>
      <c r="K40" s="20">
        <v>54</v>
      </c>
      <c r="L40" s="20">
        <v>115</v>
      </c>
    </row>
    <row r="41" spans="1:14">
      <c r="A41" s="19" t="s">
        <v>117</v>
      </c>
      <c r="B41" s="27">
        <v>-0.66</v>
      </c>
      <c r="C41" s="27">
        <v>-0.62</v>
      </c>
      <c r="D41" s="27">
        <v>-0.94</v>
      </c>
      <c r="E41" s="20">
        <v>0</v>
      </c>
      <c r="F41" s="27">
        <v>-1.65</v>
      </c>
      <c r="G41" s="27">
        <v>-3.37</v>
      </c>
      <c r="H41" s="27">
        <v>-2.17</v>
      </c>
      <c r="I41" s="27">
        <v>-4.99</v>
      </c>
      <c r="J41" s="27">
        <v>-0.26</v>
      </c>
      <c r="K41" s="20">
        <v>1.0900000000000001</v>
      </c>
      <c r="L41" s="20">
        <v>2.89</v>
      </c>
    </row>
    <row r="42" spans="1:14" ht="15.75" thickBot="1">
      <c r="A42" s="2" t="s">
        <v>172</v>
      </c>
      <c r="B42" s="4"/>
      <c r="C42" s="4"/>
      <c r="D42" s="4"/>
      <c r="E42" s="7">
        <v>-15</v>
      </c>
      <c r="F42" s="4"/>
      <c r="G42" s="4"/>
      <c r="H42" s="4"/>
      <c r="I42" s="4"/>
      <c r="J42" s="4"/>
      <c r="K42" s="4"/>
      <c r="L42" s="4"/>
    </row>
    <row r="43" spans="1:14" ht="15.75" thickTop="1">
      <c r="A43" s="5" t="s">
        <v>112</v>
      </c>
      <c r="B43" s="10">
        <v>830</v>
      </c>
      <c r="C43" s="6">
        <v>1915</v>
      </c>
      <c r="D43" s="8">
        <v>-1655</v>
      </c>
      <c r="E43" s="6">
        <v>2335</v>
      </c>
      <c r="F43" s="6">
        <v>1765</v>
      </c>
      <c r="G43" s="12">
        <v>-347</v>
      </c>
      <c r="H43" s="8">
        <v>-1614</v>
      </c>
      <c r="I43" s="6">
        <v>31083</v>
      </c>
      <c r="J43" s="8">
        <v>-25252</v>
      </c>
      <c r="K43" s="10">
        <v>62</v>
      </c>
      <c r="L43" s="8">
        <v>-5132</v>
      </c>
    </row>
    <row r="44" spans="1:14">
      <c r="A44" s="11" t="s">
        <v>33</v>
      </c>
      <c r="B44" s="1"/>
      <c r="C44" s="1"/>
      <c r="D44" s="1"/>
      <c r="E44" s="1"/>
      <c r="F44" s="1"/>
      <c r="G44" s="1"/>
      <c r="H44" s="1"/>
      <c r="I44" s="1"/>
      <c r="J44" s="1"/>
      <c r="K44" s="1"/>
      <c r="L44" s="1"/>
    </row>
    <row r="45" spans="1:14">
      <c r="A45" s="2" t="s">
        <v>113</v>
      </c>
      <c r="B45" s="3">
        <v>2717</v>
      </c>
      <c r="C45" s="3">
        <v>3547</v>
      </c>
      <c r="D45" s="3">
        <v>5462</v>
      </c>
      <c r="E45" s="3">
        <v>3807</v>
      </c>
      <c r="F45" s="3">
        <v>6142</v>
      </c>
      <c r="G45" s="3">
        <v>7907</v>
      </c>
      <c r="H45" s="3">
        <v>7560</v>
      </c>
      <c r="I45" s="3">
        <v>5946</v>
      </c>
      <c r="J45" s="3">
        <v>37029</v>
      </c>
      <c r="K45" s="3">
        <v>11777</v>
      </c>
      <c r="L45" s="3">
        <v>11839</v>
      </c>
    </row>
    <row r="46" spans="1:14">
      <c r="A46" s="2" t="s">
        <v>114</v>
      </c>
      <c r="B46" s="3">
        <v>3547</v>
      </c>
      <c r="C46" s="3">
        <v>5462</v>
      </c>
      <c r="D46" s="3">
        <v>3807</v>
      </c>
      <c r="E46" s="3">
        <v>6142</v>
      </c>
      <c r="F46" s="3">
        <v>7907</v>
      </c>
      <c r="G46" s="3">
        <v>7560</v>
      </c>
      <c r="H46" s="3">
        <v>5946</v>
      </c>
      <c r="I46" s="3">
        <v>37029</v>
      </c>
      <c r="J46" s="3">
        <v>11777</v>
      </c>
      <c r="K46" s="3">
        <v>11839</v>
      </c>
      <c r="L46" s="3">
        <v>6707</v>
      </c>
      <c r="N46" s="15"/>
    </row>
    <row r="47" spans="1:14">
      <c r="A47" s="2" t="s">
        <v>115</v>
      </c>
      <c r="B47" s="9">
        <v>15</v>
      </c>
      <c r="C47" s="9">
        <v>94</v>
      </c>
      <c r="D47" s="9">
        <v>88</v>
      </c>
      <c r="E47" s="4"/>
      <c r="F47" s="4"/>
      <c r="G47" s="4"/>
      <c r="H47" s="9">
        <v>282</v>
      </c>
      <c r="I47" s="9">
        <v>313</v>
      </c>
      <c r="J47" s="9">
        <v>662</v>
      </c>
      <c r="K47" s="9">
        <v>563</v>
      </c>
      <c r="L47" s="9">
        <v>507</v>
      </c>
    </row>
    <row r="48" spans="1:14">
      <c r="A48" s="2" t="s">
        <v>116</v>
      </c>
      <c r="B48" s="9">
        <v>671</v>
      </c>
      <c r="C48" s="3">
        <v>2100</v>
      </c>
      <c r="D48" s="3">
        <v>1300</v>
      </c>
      <c r="E48" s="3">
        <v>1100</v>
      </c>
      <c r="F48" s="3">
        <v>1200</v>
      </c>
      <c r="G48" s="3">
        <v>1200</v>
      </c>
      <c r="H48" s="3">
        <v>1300</v>
      </c>
      <c r="I48" s="3">
        <v>1000</v>
      </c>
      <c r="J48" s="9">
        <v>877</v>
      </c>
      <c r="K48" s="3">
        <v>1100</v>
      </c>
      <c r="L48" s="9">
        <v>830</v>
      </c>
    </row>
    <row r="49" spans="1:12">
      <c r="A49" s="2" t="s">
        <v>117</v>
      </c>
      <c r="B49" s="9">
        <v>1.57</v>
      </c>
      <c r="C49" s="9">
        <v>2.6</v>
      </c>
      <c r="D49" s="9">
        <v>2.77</v>
      </c>
      <c r="E49" s="9">
        <v>4.51</v>
      </c>
      <c r="F49" s="9">
        <v>4.58</v>
      </c>
      <c r="G49" s="9">
        <v>2.79</v>
      </c>
      <c r="H49" s="9">
        <v>4.9400000000000004</v>
      </c>
      <c r="I49" s="9">
        <v>2.92</v>
      </c>
      <c r="J49" s="9">
        <v>2.14</v>
      </c>
      <c r="K49" s="9">
        <v>5.29</v>
      </c>
      <c r="L49" s="9">
        <v>3.88</v>
      </c>
    </row>
  </sheetData>
  <mergeCells count="1">
    <mergeCell ref="A1:L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EA4C-619C-430E-B7AC-F0509856E77A}">
  <sheetPr>
    <tabColor theme="4" tint="0.79998168889431442"/>
  </sheetPr>
  <dimension ref="A1:L48"/>
  <sheetViews>
    <sheetView workbookViewId="0">
      <selection sqref="A1:L1"/>
    </sheetView>
  </sheetViews>
  <sheetFormatPr defaultRowHeight="15"/>
  <cols>
    <col min="1" max="1" width="45" bestFit="1" customWidth="1"/>
    <col min="2" max="12" width="13.42578125" bestFit="1" customWidth="1"/>
  </cols>
  <sheetData>
    <row r="1" spans="1:12">
      <c r="A1" s="524" t="s">
        <v>285</v>
      </c>
      <c r="B1" s="524"/>
      <c r="C1" s="524"/>
      <c r="D1" s="524"/>
      <c r="E1" s="524"/>
      <c r="F1" s="524"/>
      <c r="G1" s="524"/>
      <c r="H1" s="524"/>
      <c r="I1" s="524"/>
      <c r="J1" s="524"/>
      <c r="K1" s="524"/>
      <c r="L1" s="524"/>
    </row>
    <row r="2" spans="1:12">
      <c r="A2" s="17" t="s">
        <v>119</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47" t="s">
        <v>120</v>
      </c>
      <c r="B4" s="1"/>
      <c r="C4" s="1"/>
      <c r="D4" s="1"/>
      <c r="E4" s="1"/>
      <c r="F4" s="1"/>
      <c r="G4" s="1"/>
      <c r="H4" s="1"/>
      <c r="I4" s="1"/>
      <c r="J4" s="1"/>
      <c r="K4" s="1"/>
      <c r="L4" s="1"/>
    </row>
    <row r="5" spans="1:12">
      <c r="A5" s="19" t="s">
        <v>121</v>
      </c>
      <c r="B5" s="42">
        <v>-0.35499999999999998</v>
      </c>
      <c r="C5" s="42">
        <v>-0.28599999999999998</v>
      </c>
      <c r="D5" s="42">
        <v>-0.27</v>
      </c>
      <c r="E5" s="42">
        <v>-2.1999999999999999E-2</v>
      </c>
      <c r="F5" s="42">
        <v>-2.8000000000000001E-2</v>
      </c>
      <c r="G5" s="42">
        <v>-6.4000000000000001E-2</v>
      </c>
      <c r="H5" s="42">
        <v>-2.5999999999999999E-2</v>
      </c>
      <c r="I5" s="42">
        <v>-0.04</v>
      </c>
      <c r="J5" s="42">
        <v>-5.0000000000000001E-3</v>
      </c>
      <c r="K5" s="43">
        <v>2E-3</v>
      </c>
      <c r="L5" s="43">
        <v>2.8000000000000001E-2</v>
      </c>
    </row>
    <row r="6" spans="1:12">
      <c r="A6" s="19" t="s">
        <v>122</v>
      </c>
      <c r="B6" s="42">
        <v>-0.52500000000000002</v>
      </c>
      <c r="C6" s="42">
        <v>-0.499</v>
      </c>
      <c r="D6" s="42">
        <v>-0.66600000000000004</v>
      </c>
      <c r="E6" s="42">
        <v>-4.8000000000000001E-2</v>
      </c>
      <c r="F6" s="42">
        <v>-5.3999999999999999E-2</v>
      </c>
      <c r="G6" s="42">
        <v>-0.18</v>
      </c>
      <c r="H6" s="42">
        <v>-4.4999999999999998E-2</v>
      </c>
      <c r="I6" s="42">
        <v>-9.1999999999999998E-2</v>
      </c>
      <c r="J6" s="42">
        <v>-1.2999999999999999E-2</v>
      </c>
      <c r="K6" s="43">
        <v>4.0000000000000001E-3</v>
      </c>
      <c r="L6" s="43">
        <v>5.1999999999999998E-2</v>
      </c>
    </row>
    <row r="7" spans="1:12">
      <c r="A7" s="19" t="s">
        <v>123</v>
      </c>
      <c r="B7" s="42">
        <v>-1.1240000000000001</v>
      </c>
      <c r="C7" s="42">
        <v>-1.18</v>
      </c>
      <c r="D7" s="42">
        <v>-2.2719999999999998</v>
      </c>
      <c r="E7" s="42">
        <v>-0.187</v>
      </c>
      <c r="F7" s="42">
        <v>-0.372</v>
      </c>
      <c r="G7" s="42">
        <v>-0.89100000000000001</v>
      </c>
      <c r="H7" s="42">
        <v>-0.221</v>
      </c>
      <c r="I7" s="42">
        <v>-0.38800000000000001</v>
      </c>
      <c r="J7" s="42">
        <v>-0.17799999999999999</v>
      </c>
      <c r="K7" s="42">
        <v>-0.107</v>
      </c>
      <c r="L7" s="43">
        <v>5.3999999999999999E-2</v>
      </c>
    </row>
    <row r="8" spans="1:12">
      <c r="A8" s="19" t="s">
        <v>124</v>
      </c>
      <c r="B8" s="43">
        <v>6.641</v>
      </c>
      <c r="C8" s="42">
        <v>-1.18</v>
      </c>
      <c r="D8" s="42">
        <v>-2.2719999999999998</v>
      </c>
      <c r="E8" s="42">
        <v>-0.187</v>
      </c>
      <c r="F8" s="42">
        <v>-0.372</v>
      </c>
      <c r="G8" s="42">
        <v>-0.89100000000000001</v>
      </c>
      <c r="H8" s="42">
        <v>-0.23100000000000001</v>
      </c>
      <c r="I8" s="42">
        <v>-0.436</v>
      </c>
      <c r="J8" s="42">
        <v>-0.21299999999999999</v>
      </c>
      <c r="K8" s="42">
        <v>-0.151</v>
      </c>
      <c r="L8" s="43">
        <v>4.8000000000000001E-2</v>
      </c>
    </row>
    <row r="9" spans="1:12">
      <c r="A9" s="47" t="s">
        <v>125</v>
      </c>
      <c r="B9" s="1"/>
      <c r="C9" s="1"/>
      <c r="D9" s="1"/>
      <c r="E9" s="1"/>
      <c r="F9" s="1"/>
      <c r="G9" s="1"/>
      <c r="H9" s="1"/>
      <c r="I9" s="1"/>
      <c r="J9" s="1"/>
      <c r="K9" s="1"/>
      <c r="L9" s="1"/>
    </row>
    <row r="10" spans="1:12">
      <c r="A10" s="19" t="s">
        <v>126</v>
      </c>
      <c r="B10" s="43">
        <v>0.26300000000000001</v>
      </c>
      <c r="C10" s="43">
        <v>0.30199999999999999</v>
      </c>
      <c r="D10" s="43">
        <v>7.2999999999999995E-2</v>
      </c>
      <c r="E10" s="43">
        <v>0.22700000000000001</v>
      </c>
      <c r="F10" s="43">
        <v>0.27600000000000002</v>
      </c>
      <c r="G10" s="43">
        <v>0.22800000000000001</v>
      </c>
      <c r="H10" s="43">
        <v>0.22800000000000001</v>
      </c>
      <c r="I10" s="43">
        <v>0.189</v>
      </c>
      <c r="J10" s="43">
        <v>0.188</v>
      </c>
      <c r="K10" s="43">
        <v>0.16600000000000001</v>
      </c>
      <c r="L10" s="43">
        <v>0.21</v>
      </c>
    </row>
    <row r="11" spans="1:12">
      <c r="A11" s="19" t="s">
        <v>127</v>
      </c>
      <c r="B11" s="43">
        <v>0.72399999999999998</v>
      </c>
      <c r="C11" s="43">
        <v>0.51</v>
      </c>
      <c r="D11" s="43">
        <v>0.36399999999999999</v>
      </c>
      <c r="E11" s="43">
        <v>0.14199999999999999</v>
      </c>
      <c r="F11" s="43">
        <v>0.189</v>
      </c>
      <c r="G11" s="43">
        <v>0.22800000000000001</v>
      </c>
      <c r="H11" s="43">
        <v>0.20100000000000001</v>
      </c>
      <c r="I11" s="43">
        <v>0.21099999999999999</v>
      </c>
      <c r="J11" s="43">
        <v>0.13200000000000001</v>
      </c>
      <c r="K11" s="43">
        <v>0.108</v>
      </c>
      <c r="L11" s="43">
        <v>0.10100000000000001</v>
      </c>
    </row>
    <row r="12" spans="1:12">
      <c r="A12" s="19" t="s">
        <v>128</v>
      </c>
      <c r="B12" s="42">
        <v>-1.167</v>
      </c>
      <c r="C12" s="42">
        <v>-1.1479999999999999</v>
      </c>
      <c r="D12" s="42">
        <v>-0.88400000000000001</v>
      </c>
      <c r="E12" s="43">
        <v>2.1999999999999999E-2</v>
      </c>
      <c r="F12" s="43">
        <v>1.4E-2</v>
      </c>
      <c r="G12" s="42">
        <v>-7.2999999999999995E-2</v>
      </c>
      <c r="H12" s="43">
        <v>4.2999999999999997E-2</v>
      </c>
      <c r="I12" s="43">
        <v>0</v>
      </c>
      <c r="J12" s="43">
        <v>7.5999999999999998E-2</v>
      </c>
      <c r="K12" s="43">
        <v>8.7999999999999995E-2</v>
      </c>
      <c r="L12" s="43">
        <v>0.13500000000000001</v>
      </c>
    </row>
    <row r="13" spans="1:12">
      <c r="A13" s="19" t="s">
        <v>129</v>
      </c>
      <c r="B13" s="42">
        <v>-1.258</v>
      </c>
      <c r="C13" s="42">
        <v>-1.2310000000000001</v>
      </c>
      <c r="D13" s="42">
        <v>-0.95399999999999996</v>
      </c>
      <c r="E13" s="42">
        <v>-0.03</v>
      </c>
      <c r="F13" s="42">
        <v>-5.8000000000000003E-2</v>
      </c>
      <c r="G13" s="42">
        <v>-0.17699999999999999</v>
      </c>
      <c r="H13" s="42">
        <v>-9.1999999999999998E-2</v>
      </c>
      <c r="I13" s="42">
        <v>-0.13500000000000001</v>
      </c>
      <c r="J13" s="42">
        <v>-8.9999999999999993E-3</v>
      </c>
      <c r="K13" s="43">
        <v>5.0000000000000001E-3</v>
      </c>
      <c r="L13" s="43">
        <v>6.3E-2</v>
      </c>
    </row>
    <row r="14" spans="1:12">
      <c r="A14" s="19" t="s">
        <v>130</v>
      </c>
      <c r="B14" s="42">
        <v>-1.258</v>
      </c>
      <c r="C14" s="42">
        <v>-1.2310000000000001</v>
      </c>
      <c r="D14" s="42">
        <v>-0.95399999999999996</v>
      </c>
      <c r="E14" s="42">
        <v>-0.03</v>
      </c>
      <c r="F14" s="42">
        <v>-5.8000000000000003E-2</v>
      </c>
      <c r="G14" s="42">
        <v>-0.17699999999999999</v>
      </c>
      <c r="H14" s="42">
        <v>-9.1999999999999998E-2</v>
      </c>
      <c r="I14" s="42">
        <v>-0.13900000000000001</v>
      </c>
      <c r="J14" s="42">
        <v>-1.2E-2</v>
      </c>
      <c r="K14" s="43">
        <v>3.0000000000000001E-3</v>
      </c>
      <c r="L14" s="43">
        <v>6.2E-2</v>
      </c>
    </row>
    <row r="15" spans="1:12">
      <c r="A15" s="19" t="s">
        <v>131</v>
      </c>
      <c r="B15" s="42">
        <v>-1.3220000000000001</v>
      </c>
      <c r="C15" s="42">
        <v>-1.246</v>
      </c>
      <c r="D15" s="42">
        <v>-0.95899999999999996</v>
      </c>
      <c r="E15" s="42">
        <v>-3.6999999999999998E-2</v>
      </c>
      <c r="F15" s="42">
        <v>-9.1999999999999998E-2</v>
      </c>
      <c r="G15" s="42">
        <v>-0.22</v>
      </c>
      <c r="H15" s="42">
        <v>-0.11</v>
      </c>
      <c r="I15" s="42">
        <v>-0.191</v>
      </c>
      <c r="J15" s="42">
        <v>-0.05</v>
      </c>
      <c r="K15" s="42">
        <v>-3.2000000000000001E-2</v>
      </c>
      <c r="L15" s="43">
        <v>2.7E-2</v>
      </c>
    </row>
    <row r="16" spans="1:12">
      <c r="A16" s="19" t="s">
        <v>132</v>
      </c>
      <c r="B16" s="42">
        <v>-1.3220000000000001</v>
      </c>
      <c r="C16" s="42">
        <v>-1.246</v>
      </c>
      <c r="D16" s="42">
        <v>-0.95899999999999996</v>
      </c>
      <c r="E16" s="42">
        <v>-3.6999999999999998E-2</v>
      </c>
      <c r="F16" s="42">
        <v>-9.1999999999999998E-2</v>
      </c>
      <c r="G16" s="42">
        <v>-0.22</v>
      </c>
      <c r="H16" s="42">
        <v>-9.6000000000000002E-2</v>
      </c>
      <c r="I16" s="42">
        <v>-0.16700000000000001</v>
      </c>
      <c r="J16" s="42">
        <v>-4.4999999999999998E-2</v>
      </c>
      <c r="K16" s="42">
        <v>-3.5000000000000003E-2</v>
      </c>
      <c r="L16" s="43">
        <v>2.3E-2</v>
      </c>
    </row>
    <row r="17" spans="1:12">
      <c r="A17" s="19" t="s">
        <v>133</v>
      </c>
      <c r="B17" s="42">
        <v>-0.82499999999999996</v>
      </c>
      <c r="C17" s="42">
        <v>-0.77700000000000002</v>
      </c>
      <c r="D17" s="42">
        <v>-0.59899999999999998</v>
      </c>
      <c r="E17" s="42">
        <v>-2.1999999999999999E-2</v>
      </c>
      <c r="F17" s="42">
        <v>-5.6000000000000001E-2</v>
      </c>
      <c r="G17" s="42">
        <v>-0.13500000000000001</v>
      </c>
      <c r="H17" s="42">
        <v>-5.8999999999999997E-2</v>
      </c>
      <c r="I17" s="42">
        <v>-9.0999999999999998E-2</v>
      </c>
      <c r="J17" s="42">
        <v>-2.1000000000000001E-2</v>
      </c>
      <c r="K17" s="42">
        <v>-1.7000000000000001E-2</v>
      </c>
      <c r="L17" s="43">
        <v>1.7999999999999999E-2</v>
      </c>
    </row>
    <row r="18" spans="1:12">
      <c r="A18" s="19" t="s">
        <v>134</v>
      </c>
      <c r="B18" s="42">
        <v>-1.3220000000000001</v>
      </c>
      <c r="C18" s="42">
        <v>-1.246</v>
      </c>
      <c r="D18" s="42">
        <v>-0.95899999999999996</v>
      </c>
      <c r="E18" s="42">
        <v>-3.6999999999999998E-2</v>
      </c>
      <c r="F18" s="42">
        <v>-9.1999999999999998E-2</v>
      </c>
      <c r="G18" s="42">
        <v>-0.22</v>
      </c>
      <c r="H18" s="42">
        <v>-9.6000000000000002E-2</v>
      </c>
      <c r="I18" s="42">
        <v>-0.16700000000000001</v>
      </c>
      <c r="J18" s="42">
        <v>-4.4999999999999998E-2</v>
      </c>
      <c r="K18" s="42">
        <v>-3.5000000000000003E-2</v>
      </c>
      <c r="L18" s="43">
        <v>2.1999999999999999E-2</v>
      </c>
    </row>
    <row r="19" spans="1:12">
      <c r="A19" s="19" t="s">
        <v>135</v>
      </c>
      <c r="B19" s="42">
        <v>-1.526</v>
      </c>
      <c r="C19" s="42">
        <v>-0.755</v>
      </c>
      <c r="D19" s="42">
        <v>-0.81200000000000006</v>
      </c>
      <c r="E19" s="42">
        <v>-1.6E-2</v>
      </c>
      <c r="F19" s="42">
        <v>-0.23100000000000001</v>
      </c>
      <c r="G19" s="42">
        <v>-0.26300000000000001</v>
      </c>
      <c r="H19" s="43">
        <v>8.2000000000000003E-2</v>
      </c>
      <c r="I19" s="42">
        <v>-0.125</v>
      </c>
      <c r="J19" s="42">
        <v>-4.2999999999999997E-2</v>
      </c>
      <c r="K19" s="43">
        <v>6.0999999999999999E-2</v>
      </c>
      <c r="L19" s="43">
        <v>0.108</v>
      </c>
    </row>
    <row r="20" spans="1:12">
      <c r="A20" s="19" t="s">
        <v>136</v>
      </c>
      <c r="B20" s="42">
        <v>-1.52</v>
      </c>
      <c r="C20" s="42">
        <v>-0.755</v>
      </c>
      <c r="D20" s="42">
        <v>-0.81200000000000006</v>
      </c>
      <c r="E20" s="42">
        <v>-1.2999999999999999E-2</v>
      </c>
      <c r="F20" s="42">
        <v>-0.23300000000000001</v>
      </c>
      <c r="G20" s="42">
        <v>-0.26400000000000001</v>
      </c>
      <c r="H20" s="43">
        <v>8.5999999999999993E-2</v>
      </c>
      <c r="I20" s="42">
        <v>-0.107</v>
      </c>
      <c r="J20" s="42">
        <v>-3.1E-2</v>
      </c>
      <c r="K20" s="43">
        <v>7.1999999999999995E-2</v>
      </c>
      <c r="L20" s="43">
        <v>0.11799999999999999</v>
      </c>
    </row>
    <row r="21" spans="1:12">
      <c r="A21" s="47" t="s">
        <v>137</v>
      </c>
      <c r="B21" s="1"/>
      <c r="C21" s="1"/>
      <c r="D21" s="1"/>
      <c r="E21" s="1"/>
      <c r="F21" s="1"/>
      <c r="G21" s="1"/>
      <c r="H21" s="1"/>
      <c r="I21" s="1"/>
      <c r="J21" s="1"/>
      <c r="K21" s="1"/>
      <c r="L21" s="1"/>
    </row>
    <row r="22" spans="1:12">
      <c r="A22" s="19" t="s">
        <v>138</v>
      </c>
      <c r="B22" s="20">
        <v>0.3</v>
      </c>
      <c r="C22" s="20">
        <v>0.28999999999999998</v>
      </c>
      <c r="D22" s="20">
        <v>0.37</v>
      </c>
      <c r="E22" s="20">
        <v>0.83</v>
      </c>
      <c r="F22" s="20">
        <v>0.55000000000000004</v>
      </c>
      <c r="G22" s="20">
        <v>0.5</v>
      </c>
      <c r="H22" s="20">
        <v>0.31</v>
      </c>
      <c r="I22" s="20">
        <v>0.41</v>
      </c>
      <c r="J22" s="20">
        <v>0.72</v>
      </c>
      <c r="K22" s="20">
        <v>0.72</v>
      </c>
      <c r="L22" s="20">
        <v>0.6</v>
      </c>
    </row>
    <row r="23" spans="1:12">
      <c r="A23" s="19" t="s">
        <v>139</v>
      </c>
      <c r="B23" s="20">
        <v>1.6</v>
      </c>
      <c r="C23" s="20">
        <v>0.94</v>
      </c>
      <c r="D23" s="20">
        <v>0.95</v>
      </c>
      <c r="E23" s="20">
        <v>2.39</v>
      </c>
      <c r="F23" s="20">
        <v>1.72</v>
      </c>
      <c r="G23" s="20">
        <v>1.04</v>
      </c>
      <c r="H23" s="20">
        <v>0.69</v>
      </c>
      <c r="I23" s="20">
        <v>0.66</v>
      </c>
      <c r="J23" s="20">
        <v>1.07</v>
      </c>
      <c r="K23" s="20">
        <v>1.23</v>
      </c>
      <c r="L23" s="20">
        <v>1.45</v>
      </c>
    </row>
    <row r="24" spans="1:12">
      <c r="A24" s="19" t="s">
        <v>140</v>
      </c>
      <c r="B24" s="20">
        <v>22.9</v>
      </c>
      <c r="C24" s="20">
        <v>25.14</v>
      </c>
      <c r="D24" s="20">
        <v>22.72</v>
      </c>
      <c r="E24" s="20">
        <v>53.02</v>
      </c>
      <c r="F24" s="20">
        <v>23.2</v>
      </c>
      <c r="G24" s="20">
        <v>20.46</v>
      </c>
      <c r="H24" s="20">
        <v>20.96</v>
      </c>
      <c r="I24" s="20">
        <v>23.18</v>
      </c>
      <c r="J24" s="20">
        <v>29.31</v>
      </c>
      <c r="K24" s="20">
        <v>21.63</v>
      </c>
      <c r="L24" s="20">
        <v>19.55</v>
      </c>
    </row>
    <row r="25" spans="1:12">
      <c r="A25" s="19" t="s">
        <v>141</v>
      </c>
      <c r="B25" s="20">
        <v>2.5099999999999998</v>
      </c>
      <c r="C25" s="20">
        <v>2.99</v>
      </c>
      <c r="D25" s="20">
        <v>2.41</v>
      </c>
      <c r="E25" s="20">
        <v>5.12</v>
      </c>
      <c r="F25" s="20">
        <v>3.58</v>
      </c>
      <c r="G25" s="20">
        <v>2.8</v>
      </c>
      <c r="H25" s="20">
        <v>3.23</v>
      </c>
      <c r="I25" s="20">
        <v>4.4000000000000004</v>
      </c>
      <c r="J25" s="20">
        <v>6.48</v>
      </c>
      <c r="K25" s="20">
        <v>6.15</v>
      </c>
      <c r="L25" s="20">
        <v>6.51</v>
      </c>
    </row>
    <row r="26" spans="1:12">
      <c r="A26" s="19" t="s">
        <v>142</v>
      </c>
      <c r="B26" s="20">
        <v>0.78</v>
      </c>
      <c r="C26" s="20">
        <v>1.1299999999999999</v>
      </c>
      <c r="D26" s="27">
        <v>-28.82</v>
      </c>
      <c r="E26" s="20">
        <v>3.41</v>
      </c>
      <c r="F26" s="20">
        <v>3.15</v>
      </c>
      <c r="G26" s="27">
        <v>-53.02</v>
      </c>
      <c r="H26" s="20">
        <v>16.510000000000002</v>
      </c>
      <c r="I26" s="27">
        <v>-10.65</v>
      </c>
      <c r="J26" s="27">
        <v>-12.73</v>
      </c>
      <c r="K26" s="20">
        <v>17.12</v>
      </c>
      <c r="L26" s="20">
        <v>2.5299999999999998</v>
      </c>
    </row>
    <row r="27" spans="1:12">
      <c r="A27" s="47" t="s">
        <v>143</v>
      </c>
      <c r="B27" s="1"/>
      <c r="C27" s="1"/>
      <c r="D27" s="1"/>
      <c r="E27" s="1"/>
      <c r="F27" s="1"/>
      <c r="G27" s="1"/>
      <c r="H27" s="1"/>
      <c r="I27" s="1"/>
      <c r="J27" s="1"/>
      <c r="K27" s="1"/>
      <c r="L27" s="1"/>
    </row>
    <row r="28" spans="1:12">
      <c r="A28" s="19" t="s">
        <v>144</v>
      </c>
      <c r="B28" s="20">
        <v>2.76</v>
      </c>
      <c r="C28" s="20">
        <v>1.95</v>
      </c>
      <c r="D28" s="20">
        <v>0.97</v>
      </c>
      <c r="E28" s="20">
        <v>1.88</v>
      </c>
      <c r="F28" s="20">
        <v>1.47</v>
      </c>
      <c r="G28" s="20">
        <v>0.97</v>
      </c>
      <c r="H28" s="20">
        <v>1.07</v>
      </c>
      <c r="I28" s="20">
        <v>0.86</v>
      </c>
      <c r="J28" s="20">
        <v>0.83</v>
      </c>
      <c r="K28" s="20">
        <v>1.1299999999999999</v>
      </c>
      <c r="L28" s="20">
        <v>1.88</v>
      </c>
    </row>
    <row r="29" spans="1:12">
      <c r="A29" s="19" t="s">
        <v>145</v>
      </c>
      <c r="B29" s="20">
        <v>1.24</v>
      </c>
      <c r="C29" s="20">
        <v>1.51</v>
      </c>
      <c r="D29" s="20">
        <v>0.42</v>
      </c>
      <c r="E29" s="20">
        <v>1.33</v>
      </c>
      <c r="F29" s="20">
        <v>0.98</v>
      </c>
      <c r="G29" s="20">
        <v>0.48</v>
      </c>
      <c r="H29" s="20">
        <v>0.67</v>
      </c>
      <c r="I29" s="20">
        <v>0.51</v>
      </c>
      <c r="J29" s="20">
        <v>0.46</v>
      </c>
      <c r="K29" s="20">
        <v>0.71</v>
      </c>
      <c r="L29" s="20">
        <v>1.49</v>
      </c>
    </row>
    <row r="30" spans="1:12">
      <c r="A30" s="19" t="s">
        <v>146</v>
      </c>
      <c r="B30" s="27">
        <v>-1.49</v>
      </c>
      <c r="C30" s="27">
        <v>-0.67</v>
      </c>
      <c r="D30" s="27">
        <v>-0.49</v>
      </c>
      <c r="E30" s="20">
        <v>0.39</v>
      </c>
      <c r="F30" s="27">
        <v>-0.03</v>
      </c>
      <c r="G30" s="27">
        <v>-0.18</v>
      </c>
      <c r="H30" s="27">
        <v>-0.02</v>
      </c>
      <c r="I30" s="27">
        <v>-0.01</v>
      </c>
      <c r="J30" s="20">
        <v>0.21</v>
      </c>
      <c r="K30" s="20">
        <v>0.23</v>
      </c>
      <c r="L30" s="20">
        <v>0.42</v>
      </c>
    </row>
    <row r="31" spans="1:12">
      <c r="A31" s="19" t="s">
        <v>147</v>
      </c>
      <c r="B31" s="20">
        <v>86.65</v>
      </c>
      <c r="C31" s="20">
        <v>31.15</v>
      </c>
      <c r="D31" s="20">
        <v>58.9</v>
      </c>
      <c r="E31" s="20">
        <v>10.199999999999999</v>
      </c>
      <c r="F31" s="20">
        <v>50.28</v>
      </c>
      <c r="G31" s="20">
        <v>58.56</v>
      </c>
      <c r="H31" s="20">
        <v>48.74</v>
      </c>
      <c r="I31" s="20">
        <v>18.920000000000002</v>
      </c>
      <c r="J31" s="20">
        <v>10.89</v>
      </c>
      <c r="K31" s="20">
        <v>13.67</v>
      </c>
      <c r="L31" s="20">
        <v>4.3499999999999996</v>
      </c>
    </row>
    <row r="32" spans="1:12">
      <c r="A32" s="19" t="s">
        <v>148</v>
      </c>
      <c r="B32" s="20">
        <v>15.94</v>
      </c>
      <c r="C32" s="20">
        <v>14.52</v>
      </c>
      <c r="D32" s="20">
        <v>16.11</v>
      </c>
      <c r="E32" s="20">
        <v>6.88</v>
      </c>
      <c r="F32" s="20">
        <v>15.73</v>
      </c>
      <c r="G32" s="20">
        <v>17.84</v>
      </c>
      <c r="H32" s="20">
        <v>17.47</v>
      </c>
      <c r="I32" s="20">
        <v>15.75</v>
      </c>
      <c r="J32" s="20">
        <v>12.45</v>
      </c>
      <c r="K32" s="20">
        <v>16.88</v>
      </c>
      <c r="L32" s="20">
        <v>18.73</v>
      </c>
    </row>
    <row r="33" spans="1:12">
      <c r="A33" s="19" t="s">
        <v>149</v>
      </c>
      <c r="B33" s="20">
        <v>145.13999999999999</v>
      </c>
      <c r="C33" s="20">
        <v>121.88</v>
      </c>
      <c r="D33" s="20">
        <v>152.15</v>
      </c>
      <c r="E33" s="20">
        <v>71.349999999999994</v>
      </c>
      <c r="F33" s="20">
        <v>101.94</v>
      </c>
      <c r="G33" s="20">
        <v>130.41999999999999</v>
      </c>
      <c r="H33" s="20">
        <v>113.35</v>
      </c>
      <c r="I33" s="20">
        <v>82.89</v>
      </c>
      <c r="J33" s="20">
        <v>56.33</v>
      </c>
      <c r="K33" s="20">
        <v>59.31</v>
      </c>
      <c r="L33" s="20">
        <v>56.23</v>
      </c>
    </row>
    <row r="34" spans="1:12">
      <c r="A34" s="19" t="s">
        <v>150</v>
      </c>
      <c r="B34" s="20">
        <v>74.430000000000007</v>
      </c>
      <c r="C34" s="20">
        <v>105.25</v>
      </c>
      <c r="D34" s="20">
        <v>109.36</v>
      </c>
      <c r="E34" s="20">
        <v>68.040000000000006</v>
      </c>
      <c r="F34" s="20">
        <v>67.39</v>
      </c>
      <c r="G34" s="20">
        <v>89.7</v>
      </c>
      <c r="H34" s="20">
        <v>82.08</v>
      </c>
      <c r="I34" s="20">
        <v>79.709999999999994</v>
      </c>
      <c r="J34" s="20">
        <v>57.89</v>
      </c>
      <c r="K34" s="20">
        <v>62.52</v>
      </c>
      <c r="L34" s="20">
        <v>70.61</v>
      </c>
    </row>
    <row r="35" spans="1:12">
      <c r="A35" s="47" t="s">
        <v>151</v>
      </c>
      <c r="B35" s="1"/>
      <c r="C35" s="1"/>
      <c r="D35" s="1"/>
      <c r="E35" s="1"/>
      <c r="F35" s="1"/>
      <c r="G35" s="1"/>
      <c r="H35" s="1"/>
      <c r="I35" s="1"/>
      <c r="J35" s="1"/>
      <c r="K35" s="1"/>
      <c r="L35" s="1"/>
    </row>
    <row r="36" spans="1:12">
      <c r="A36" s="19" t="s">
        <v>152</v>
      </c>
      <c r="B36" s="43">
        <v>0.35099999999999998</v>
      </c>
      <c r="C36" s="43">
        <v>1.25</v>
      </c>
      <c r="D36" s="43">
        <v>3.742</v>
      </c>
      <c r="E36" s="43">
        <v>0.91</v>
      </c>
      <c r="F36" s="43">
        <v>2.786</v>
      </c>
      <c r="G36" s="43">
        <v>2.6749999999999998</v>
      </c>
      <c r="H36" s="43">
        <v>1.454</v>
      </c>
      <c r="I36" s="43">
        <v>2.1539999999999999</v>
      </c>
      <c r="J36" s="43">
        <v>2.19</v>
      </c>
      <c r="K36" s="43">
        <v>1.7969999999999999</v>
      </c>
      <c r="L36" s="43">
        <v>0.56299999999999994</v>
      </c>
    </row>
    <row r="37" spans="1:12">
      <c r="A37" s="19" t="s">
        <v>153</v>
      </c>
      <c r="B37" s="43">
        <v>0.26</v>
      </c>
      <c r="C37" s="43">
        <v>0.55600000000000005</v>
      </c>
      <c r="D37" s="43">
        <v>0.78900000000000003</v>
      </c>
      <c r="E37" s="43">
        <v>0.47599999999999998</v>
      </c>
      <c r="F37" s="43">
        <v>0.73599999999999999</v>
      </c>
      <c r="G37" s="43">
        <v>0.72799999999999998</v>
      </c>
      <c r="H37" s="43">
        <v>0.59299999999999997</v>
      </c>
      <c r="I37" s="43">
        <v>0.68300000000000005</v>
      </c>
      <c r="J37" s="43">
        <v>0.68700000000000006</v>
      </c>
      <c r="K37" s="43">
        <v>0.64100000000000001</v>
      </c>
      <c r="L37" s="43">
        <v>0.35899999999999999</v>
      </c>
    </row>
    <row r="38" spans="1:12">
      <c r="A38" s="19" t="s">
        <v>154</v>
      </c>
      <c r="B38" s="43">
        <v>0.46400000000000002</v>
      </c>
      <c r="C38" s="43">
        <v>0.68600000000000005</v>
      </c>
      <c r="D38" s="43">
        <v>0.88800000000000001</v>
      </c>
      <c r="E38" s="43">
        <v>0.72399999999999998</v>
      </c>
      <c r="F38" s="43">
        <v>0.84399999999999997</v>
      </c>
      <c r="G38" s="43">
        <v>0.86599999999999999</v>
      </c>
      <c r="H38" s="43">
        <v>0.73899999999999999</v>
      </c>
      <c r="I38" s="43">
        <v>0.80300000000000005</v>
      </c>
      <c r="J38" s="43">
        <v>0.78800000000000003</v>
      </c>
      <c r="K38" s="43">
        <v>0.76400000000000001</v>
      </c>
      <c r="L38" s="43">
        <v>0.54600000000000004</v>
      </c>
    </row>
    <row r="39" spans="1:12">
      <c r="A39" s="19" t="s">
        <v>155</v>
      </c>
      <c r="B39" s="27">
        <v>-148.02000000000001</v>
      </c>
      <c r="C39" s="28">
        <v>-5848.56</v>
      </c>
      <c r="D39" s="28">
        <v>-1552.3</v>
      </c>
      <c r="E39" s="27">
        <v>-1.86</v>
      </c>
      <c r="F39" s="27">
        <v>-1.85</v>
      </c>
      <c r="G39" s="27">
        <v>-6.03</v>
      </c>
      <c r="H39" s="27">
        <v>-3.37</v>
      </c>
      <c r="I39" s="27">
        <v>-3.42</v>
      </c>
      <c r="J39" s="27">
        <v>-0.39</v>
      </c>
      <c r="K39" s="20">
        <v>0.11</v>
      </c>
      <c r="L39" s="20">
        <v>2.4900000000000002</v>
      </c>
    </row>
    <row r="40" spans="1:12">
      <c r="A40" s="19" t="s">
        <v>156</v>
      </c>
      <c r="B40" s="27">
        <v>-137.31</v>
      </c>
      <c r="C40" s="28">
        <v>-5455.09</v>
      </c>
      <c r="D40" s="28">
        <v>-1438.81</v>
      </c>
      <c r="E40" s="20">
        <v>1.36</v>
      </c>
      <c r="F40" s="20">
        <v>0.45</v>
      </c>
      <c r="G40" s="27">
        <v>-2.4700000000000002</v>
      </c>
      <c r="H40" s="20">
        <v>1.57</v>
      </c>
      <c r="I40" s="20">
        <v>0.01</v>
      </c>
      <c r="J40" s="20">
        <v>2.5</v>
      </c>
      <c r="K40" s="20">
        <v>3.58</v>
      </c>
      <c r="L40" s="20">
        <v>6.03</v>
      </c>
    </row>
    <row r="41" spans="1:12">
      <c r="A41" s="19" t="s">
        <v>157</v>
      </c>
      <c r="B41" s="27">
        <v>-177.84</v>
      </c>
      <c r="C41" s="28">
        <v>-9739.42</v>
      </c>
      <c r="D41" s="28">
        <v>-2380.65</v>
      </c>
      <c r="E41" s="27">
        <v>-6.66</v>
      </c>
      <c r="F41" s="27">
        <v>-9.17</v>
      </c>
      <c r="G41" s="27">
        <v>-16.23</v>
      </c>
      <c r="H41" s="27">
        <v>-5.94</v>
      </c>
      <c r="I41" s="27">
        <v>-8.5500000000000007</v>
      </c>
      <c r="J41" s="27">
        <v>-1.05</v>
      </c>
      <c r="K41" s="20">
        <v>1.61</v>
      </c>
      <c r="L41" s="20">
        <v>1.9</v>
      </c>
    </row>
    <row r="42" spans="1:12">
      <c r="A42" s="19" t="s">
        <v>158</v>
      </c>
      <c r="B42" s="27">
        <v>-128.85</v>
      </c>
      <c r="C42" s="28">
        <v>-2977.53</v>
      </c>
      <c r="D42" s="28">
        <v>-1038.6400000000001</v>
      </c>
      <c r="E42" s="20">
        <v>8.0399999999999991</v>
      </c>
      <c r="F42" s="27">
        <v>-0.56999999999999995</v>
      </c>
      <c r="G42" s="27">
        <v>-4.41</v>
      </c>
      <c r="H42" s="27">
        <v>-0.65</v>
      </c>
      <c r="I42" s="27">
        <v>-0.13</v>
      </c>
      <c r="J42" s="20">
        <v>3.21</v>
      </c>
      <c r="K42" s="20">
        <v>3.32</v>
      </c>
      <c r="L42" s="20">
        <v>7.58</v>
      </c>
    </row>
    <row r="43" spans="1:12">
      <c r="A43" s="19" t="s">
        <v>159</v>
      </c>
      <c r="B43" s="27">
        <v>-1.76</v>
      </c>
      <c r="C43" s="27">
        <v>-0.46</v>
      </c>
      <c r="D43" s="27">
        <v>-0.56999999999999995</v>
      </c>
      <c r="E43" s="20">
        <v>0.44</v>
      </c>
      <c r="F43" s="27">
        <v>-0.02</v>
      </c>
      <c r="G43" s="27">
        <v>-0.18</v>
      </c>
      <c r="H43" s="27">
        <v>-0.01</v>
      </c>
      <c r="I43" s="27">
        <v>-0.01</v>
      </c>
      <c r="J43" s="20">
        <v>0.15</v>
      </c>
      <c r="K43" s="20">
        <v>0.16</v>
      </c>
      <c r="L43" s="20">
        <v>0.45</v>
      </c>
    </row>
    <row r="44" spans="1:12">
      <c r="A44" s="19" t="s">
        <v>160</v>
      </c>
      <c r="B44" s="27">
        <v>-0.53</v>
      </c>
      <c r="C44" s="27">
        <v>-1.19</v>
      </c>
      <c r="D44" s="27">
        <v>-1.28</v>
      </c>
      <c r="E44" s="20">
        <v>13.55</v>
      </c>
      <c r="F44" s="20">
        <v>56.15</v>
      </c>
      <c r="G44" s="27">
        <v>-9.86</v>
      </c>
      <c r="H44" s="20">
        <v>28.49</v>
      </c>
      <c r="I44" s="21">
        <v>3032.72</v>
      </c>
      <c r="J44" s="20">
        <v>8.4600000000000009</v>
      </c>
      <c r="K44" s="20">
        <v>5.61</v>
      </c>
      <c r="L44" s="20">
        <v>2.82</v>
      </c>
    </row>
    <row r="45" spans="1:12">
      <c r="A45" s="19" t="s">
        <v>161</v>
      </c>
      <c r="B45" s="20">
        <v>0.2</v>
      </c>
      <c r="C45" s="20">
        <v>0</v>
      </c>
      <c r="D45" s="27">
        <v>-0.72</v>
      </c>
      <c r="E45" s="27">
        <v>-5.34</v>
      </c>
      <c r="F45" s="20">
        <v>14.03</v>
      </c>
      <c r="G45" s="27">
        <v>-5.79</v>
      </c>
      <c r="H45" s="20">
        <v>17.23</v>
      </c>
      <c r="I45" s="21">
        <v>2190.7399999999998</v>
      </c>
      <c r="J45" s="20">
        <v>6.2</v>
      </c>
      <c r="K45" s="20">
        <v>3.2</v>
      </c>
      <c r="L45" s="27">
        <v>-1.28</v>
      </c>
    </row>
    <row r="46" spans="1:12">
      <c r="A46" s="19" t="s">
        <v>162</v>
      </c>
      <c r="B46" s="20">
        <v>0.15</v>
      </c>
      <c r="C46" s="20">
        <v>0</v>
      </c>
      <c r="D46" s="27">
        <v>-0.44</v>
      </c>
      <c r="E46" s="20">
        <v>1.0900000000000001</v>
      </c>
      <c r="F46" s="27">
        <v>-0.69</v>
      </c>
      <c r="G46" s="27">
        <v>-0.88</v>
      </c>
      <c r="H46" s="27">
        <v>-4.5599999999999996</v>
      </c>
      <c r="I46" s="27">
        <v>-2.15</v>
      </c>
      <c r="J46" s="27">
        <v>-14.83</v>
      </c>
      <c r="K46" s="20">
        <v>7.13</v>
      </c>
      <c r="L46" s="27">
        <v>-4.05</v>
      </c>
    </row>
    <row r="47" spans="1:12">
      <c r="A47" s="1"/>
      <c r="B47" s="1"/>
      <c r="C47" s="1"/>
      <c r="D47" s="1"/>
      <c r="E47" s="1"/>
      <c r="F47" s="1"/>
      <c r="G47" s="1"/>
      <c r="H47" s="1"/>
      <c r="I47" s="1"/>
      <c r="J47" s="1"/>
      <c r="K47" s="1"/>
      <c r="L47" s="1"/>
    </row>
    <row r="48" spans="1:12">
      <c r="A48" s="1"/>
      <c r="B48" s="1"/>
      <c r="C48" s="1"/>
      <c r="D48" s="1"/>
      <c r="E48" s="1"/>
      <c r="F48" s="1"/>
      <c r="G48" s="1"/>
      <c r="H48" s="1"/>
      <c r="I48" s="1"/>
      <c r="J48" s="1"/>
      <c r="K48" s="1"/>
      <c r="L48" s="1"/>
    </row>
  </sheetData>
  <mergeCells count="1">
    <mergeCell ref="A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Valuation</vt:lpstr>
      <vt:lpstr>DCF</vt:lpstr>
      <vt:lpstr>FSM</vt:lpstr>
      <vt:lpstr>IS</vt:lpstr>
      <vt:lpstr>BS</vt:lpstr>
      <vt:lpstr>CFS</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Cadda</dc:creator>
  <cp:lastModifiedBy>Paolo Cadoni</cp:lastModifiedBy>
  <dcterms:created xsi:type="dcterms:W3CDTF">2021-02-24T19:46:26Z</dcterms:created>
  <dcterms:modified xsi:type="dcterms:W3CDTF">2021-08-22T07:05:58Z</dcterms:modified>
</cp:coreProperties>
</file>