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Quarterly Earnings Presentation" sheetId="1" r:id="rId4"/>
    <sheet state="visible" name="Revenue Model" sheetId="2" r:id="rId5"/>
    <sheet state="visible" name="Cost Model" sheetId="3" r:id="rId6"/>
    <sheet state="visible" name="Income Statement" sheetId="4" r:id="rId7"/>
    <sheet state="visible" name="Balance Sheet" sheetId="5" r:id="rId8"/>
    <sheet state="visible" name="Cash Flow Statement" sheetId="6" r:id="rId9"/>
    <sheet state="visible" name="DCF" sheetId="7" r:id="rId10"/>
    <sheet state="visible" name="Assumptions and Control Panel" sheetId="8" r:id="rId11"/>
    <sheet state="visible" name="Scratch Work" sheetId="9" r:id="rId12"/>
  </sheets>
  <definedNames/>
  <calcPr/>
  <extLst>
    <ext uri="GoogleSheetsCustomDataVersion2">
      <go:sheetsCustomData xmlns:go="http://customooxmlschemas.google.com/" r:id="rId13" roundtripDataChecksum="oHGHm8GWDEt1ttoiUYqS3G+h55jiMtVWXwiDSPEsMv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1">
      <text>
        <t xml:space="preserve">======
ID#AAABSlF9EHc
    (2024-12-30 14:56:33)
Applies to customers who provide over $100K of ARR
	-Sam Hwang</t>
      </text>
    </comment>
    <comment authorId="0" ref="B2">
      <text>
        <t xml:space="preserve">======
ID#AAABSlF9EHM
    (2024-12-30 14:56:33)
Total number of customers with the module number/total number of subscription customers excluding Falcon Go (for customers with fewer than 100 endpoints)
	-Sam Hwang</t>
      </text>
    </comment>
  </commentList>
  <extLst>
    <ext uri="GoogleSheetsCustomDataVersion2">
      <go:sheetsCustomData xmlns:go="http://customooxmlschemas.google.com/" r:id="rId1" roundtripDataSignature="AMtx7mhbyIEW/BTg3Y5CD56bps87/sIJt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4">
      <text>
        <t xml:space="preserve">======
ID#AAABSlF9EHI
    (2024-12-30 14:56:33)
Maybe project using net new subscribers growth rate
	-Sam Hwang</t>
      </text>
    </comment>
    <comment authorId="0" ref="V23">
      <text>
        <t xml:space="preserve">======
ID#AAABSlF9EHE
    (2024-12-30 14:56:33)
No actual data; assumed growth rate as average of the previous 5 years' growth rate.
	-Sam Hwang</t>
      </text>
    </comment>
  </commentList>
  <extLst>
    <ext uri="GoogleSheetsCustomDataVersion2">
      <go:sheetsCustomData xmlns:go="http://customooxmlschemas.google.com/" r:id="rId1" roundtripDataSignature="AMtx7mj2tnWqVr5vX68Iani8gRRaWlIZz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0">
      <text>
        <t xml:space="preserve">======
ID#AAABSlF9EHY
    (2024-12-30 14:56:33)
Adjusted EBIT: People often don't include one-time things, such as court settlements.
	-Sam Hwang</t>
      </text>
    </comment>
  </commentList>
  <extLst>
    <ext uri="GoogleSheetsCustomDataVersion2">
      <go:sheetsCustomData xmlns:go="http://customooxmlschemas.google.com/" r:id="rId1" roundtripDataSignature="AMtx7mgB8fA9JYrbvwcRPq8E4zSJ7EZU+A=="/>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9">
      <text>
        <t xml:space="preserve">======
ID#AAABSlF9EHQ
    (2024-12-30 14:56:33)
"On January 20, 2021, the Company issued $750.0 million in aggregate principal amount of 3.00% Senior Notes maturing
in February 2029"
	-Sam Hwang</t>
      </text>
    </comment>
  </commentList>
  <extLst>
    <ext uri="GoogleSheetsCustomDataVersion2">
      <go:sheetsCustomData xmlns:go="http://customooxmlschemas.google.com/" r:id="rId1" roundtripDataSignature="AMtx7mgrYsHdcu4eDWT2+dRxrKyvlSzsRg=="/>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
ID#AAABSlF9EHU
    (2024-12-30 14:56:33)
Commissions, including referral fees paid to
referral partners, earned upon the initial acquisition of a contract or subsequent upsell are amortized over an estimated period of
benefit of four years, while commissions earned for renewal contracts are amortized over the contractual term of the renewals.
Sales commissions associated with professional service contracts are amortized ratably over an estimated period of benefit of
six months
	-Sam Hwang</t>
      </text>
    </comment>
  </commentList>
  <extLst>
    <ext uri="GoogleSheetsCustomDataVersion2">
      <go:sheetsCustomData xmlns:go="http://customooxmlschemas.google.com/" r:id="rId1" roundtripDataSignature="AMtx7miY9orsbCM6sAIQ0Y5yFF4p5kB0yg=="/>
    </ext>
  </extLst>
</comments>
</file>

<file path=xl/sharedStrings.xml><?xml version="1.0" encoding="utf-8"?>
<sst xmlns="http://schemas.openxmlformats.org/spreadsheetml/2006/main" count="987" uniqueCount="402">
  <si>
    <t>Customers Embracing Falcon Platform</t>
  </si>
  <si>
    <t>(in millions)</t>
  </si>
  <si>
    <t>Module Owning Rates from 1Q25 and 2Q25 Reports</t>
  </si>
  <si>
    <t>Period</t>
  </si>
  <si>
    <t>Number of Modules</t>
  </si>
  <si>
    <t>% of Customers</t>
  </si>
  <si>
    <t>Existing Subscription</t>
  </si>
  <si>
    <t>Net New Subscription Customers</t>
  </si>
  <si>
    <t>Total Subscription Customers</t>
  </si>
  <si>
    <t>Ending ARR</t>
  </si>
  <si>
    <t>Net New ARR</t>
  </si>
  <si>
    <t>Subscription Revenue</t>
  </si>
  <si>
    <t>Professional Services Revenue</t>
  </si>
  <si>
    <t>Total Revenue</t>
  </si>
  <si>
    <t>2Q2025</t>
  </si>
  <si>
    <t>4-</t>
  </si>
  <si>
    <t>7+</t>
  </si>
  <si>
    <t>1Q2025</t>
  </si>
  <si>
    <t>4Q2024</t>
  </si>
  <si>
    <t>3Q2024</t>
  </si>
  <si>
    <t>2Q2024</t>
  </si>
  <si>
    <t>1Q2024</t>
  </si>
  <si>
    <t>4Q2023</t>
  </si>
  <si>
    <t>3Q2023</t>
  </si>
  <si>
    <t>2Q2023</t>
  </si>
  <si>
    <t>1Q2023</t>
  </si>
  <si>
    <t>3-</t>
  </si>
  <si>
    <t>4Q2022</t>
  </si>
  <si>
    <t>6+</t>
  </si>
  <si>
    <t>3Q2022</t>
  </si>
  <si>
    <t>2Q2022</t>
  </si>
  <si>
    <t>1Q2022</t>
  </si>
  <si>
    <t>4Q2021</t>
  </si>
  <si>
    <t>3Q2021</t>
  </si>
  <si>
    <t>2Q2021</t>
  </si>
  <si>
    <t>5+</t>
  </si>
  <si>
    <t>1Q2021</t>
  </si>
  <si>
    <t>4Q2020</t>
  </si>
  <si>
    <t>3Q2020</t>
  </si>
  <si>
    <t>2Q2020</t>
  </si>
  <si>
    <t>4+</t>
  </si>
  <si>
    <t>1Q2020</t>
  </si>
  <si>
    <t>4Q2019</t>
  </si>
  <si>
    <t>3Q2019</t>
  </si>
  <si>
    <t>2Q2019</t>
  </si>
  <si>
    <t>1Q2019</t>
  </si>
  <si>
    <t>(in thousands, except for customer data)</t>
  </si>
  <si>
    <t>Projections:</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</si>
  <si>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</si>
  <si>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</si>
  <si>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</si>
  <si>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</si>
  <si>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</si>
  <si>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</si>
  <si>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</si>
  <si>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</si>
  <si>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</si>
  <si>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</si>
  <si>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</si>
  <si>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</si>
  <si>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</si>
  <si>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</si>
  <si>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</si>
  <si>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</si>
  <si>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</si>
  <si>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</si>
  <si>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</si>
  <si>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</si>
  <si>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</si>
  <si>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</si>
  <si>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</si>
  <si>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</si>
  <si>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FY 2024</t>
  </si>
  <si>
    <t>2025Q1</t>
  </si>
  <si>
    <t>2025Q2</t>
  </si>
  <si>
    <t>2025Q3</t>
  </si>
  <si>
    <t>2025Q4</t>
  </si>
  <si>
    <t>FY 2025</t>
  </si>
  <si>
    <t>2026Q1</t>
  </si>
  <si>
    <t>2026Q2</t>
  </si>
  <si>
    <t>2026Q3</t>
  </si>
  <si>
    <t>2026Q4</t>
  </si>
  <si>
    <t>FY 2026</t>
  </si>
  <si>
    <t>2027Q1</t>
  </si>
  <si>
    <t>2027Q2</t>
  </si>
  <si>
    <t>2027Q3</t>
  </si>
  <si>
    <t>2027Q4</t>
  </si>
  <si>
    <t>FY 2027</t>
  </si>
  <si>
    <t>2028Q1</t>
  </si>
  <si>
    <t>2028Q2</t>
  </si>
  <si>
    <t>2028Q3</t>
  </si>
  <si>
    <t>2028Q4</t>
  </si>
  <si>
    <t>FY 2028</t>
  </si>
  <si>
    <t>2029Q1</t>
  </si>
  <si>
    <t>2029Q2</t>
  </si>
  <si>
    <t>2029Q3</t>
  </si>
  <si>
    <t>2029Q4</t>
  </si>
  <si>
    <t>FY 2029</t>
  </si>
  <si>
    <t>REVENUES (in thousands)</t>
  </si>
  <si>
    <t>Subscription</t>
  </si>
  <si>
    <t>Subscription Revenue Growth Rate</t>
  </si>
  <si>
    <t xml:space="preserve">Case Number: </t>
  </si>
  <si>
    <t>Professional Services</t>
  </si>
  <si>
    <t>Professional Services Rev Growth Rate</t>
  </si>
  <si>
    <t>Total Revenue Growth Rate</t>
  </si>
  <si>
    <t>ANNUALIZED RECURRING REVENUES (in thousands)</t>
  </si>
  <si>
    <t>ARR from Existing</t>
  </si>
  <si>
    <t>Total Annualized Recurring Revenue</t>
  </si>
  <si>
    <t>ARR Growth Rate</t>
  </si>
  <si>
    <t>SUBSCRIPTION CUSTOMERS</t>
  </si>
  <si>
    <t>Case Number:</t>
  </si>
  <si>
    <t>Projections to fill in missing data</t>
  </si>
  <si>
    <t>Existing Subscribers</t>
  </si>
  <si>
    <t>Net New Subscribers</t>
  </si>
  <si>
    <t>Subscription Customers Growth Rate</t>
  </si>
  <si>
    <t>Net New Subscribers Growth Rate</t>
  </si>
  <si>
    <t>REVENUES PER CUSTOMER (in ten thousands)</t>
  </si>
  <si>
    <t>Subscription Revenue Per Subscription Customer</t>
  </si>
  <si>
    <t>Subscription Rev/Customer Growth Rate</t>
  </si>
  <si>
    <t>ARR Per Subscription Customer</t>
  </si>
  <si>
    <t>ARR/Customer Growth Rate</t>
  </si>
  <si>
    <t>Assumptions:</t>
  </si>
  <si>
    <t>New Subscribers Growth Rate</t>
  </si>
  <si>
    <t>Case Number</t>
  </si>
  <si>
    <t>Base Case</t>
  </si>
  <si>
    <t>Worst Case</t>
  </si>
  <si>
    <t>Q1 Case</t>
  </si>
  <si>
    <t>Q3 Case</t>
  </si>
  <si>
    <t>Extremely Good</t>
  </si>
  <si>
    <t>Subscription Revenue Per Customer Growth Rate</t>
  </si>
  <si>
    <t>Subscription Customers Growth Rate Currently in Model</t>
  </si>
  <si>
    <t>ARR Per Customer Growth Rate</t>
  </si>
  <si>
    <t>Professional Services Growth Rate</t>
  </si>
  <si>
    <t>(in thousands)</t>
  </si>
  <si>
    <t>Professional services</t>
  </si>
  <si>
    <t>COST OF REVENUE</t>
  </si>
  <si>
    <t>Subscription Case</t>
  </si>
  <si>
    <t>Professional Services Case</t>
  </si>
  <si>
    <t>% of Subscription Revenue</t>
  </si>
  <si>
    <t>% of Total COGS</t>
  </si>
  <si>
    <t>% of Professional Services Revenue</t>
  </si>
  <si>
    <t>Total Cost of Revenue</t>
  </si>
  <si>
    <t>OPERATING EXPENSES</t>
  </si>
  <si>
    <t>Sales and Marketing</t>
  </si>
  <si>
    <t>R&amp;D</t>
  </si>
  <si>
    <t>G&amp;A</t>
  </si>
  <si>
    <t>Sales and marketing</t>
  </si>
  <si>
    <t>% of Total Revenue</t>
  </si>
  <si>
    <t>% of Total Operating Expenses</t>
  </si>
  <si>
    <t>Research and development</t>
  </si>
  <si>
    <t>General and administrative</t>
  </si>
  <si>
    <t>Total operating expenses</t>
  </si>
  <si>
    <t>Operating Income (Loss)</t>
  </si>
  <si>
    <t>Subscription COGS</t>
  </si>
  <si>
    <t>Subscription COGS in Model</t>
  </si>
  <si>
    <t>Professional Services COGS</t>
  </si>
  <si>
    <t>Sales and Marketing OpEx</t>
  </si>
  <si>
    <t>Sales and Marketing OpEx in Model</t>
  </si>
  <si>
    <t>R&amp;D OpEx</t>
  </si>
  <si>
    <t>R&amp;D OpEx in Model</t>
  </si>
  <si>
    <t>G&amp;A OpEx</t>
  </si>
  <si>
    <t>G&amp;A OpEx in Model</t>
  </si>
  <si>
    <t>Master Error Checker</t>
  </si>
  <si>
    <t>Projected</t>
  </si>
  <si>
    <t>Income Statement (January 31) (in thousands)</t>
  </si>
  <si>
    <t>REVENUES</t>
  </si>
  <si>
    <t>Revenue % Change</t>
  </si>
  <si>
    <t>Total cost of revenue</t>
  </si>
  <si>
    <t>Gross Profit (Loss)</t>
  </si>
  <si>
    <t>Interest expense</t>
  </si>
  <si>
    <t>Interest income</t>
  </si>
  <si>
    <t>Other income (expense), net</t>
  </si>
  <si>
    <t>Income (loss) before provision for income taxes</t>
  </si>
  <si>
    <t>Provision for income taxes</t>
  </si>
  <si>
    <t>Net Income (loss)</t>
  </si>
  <si>
    <t>Subscription Revenue Growth Rate Assumptions</t>
  </si>
  <si>
    <t>Base Case (Industry Sell-side reports estimate between 20-27% YoY with up to 36% for some companies)</t>
  </si>
  <si>
    <t>Subscription Growth Rate Currently in Model</t>
  </si>
  <si>
    <t>Professional Services Revenue Growth Rate Assumptions</t>
  </si>
  <si>
    <t>Professional Services Growth Rate Currently in Model</t>
  </si>
  <si>
    <t>Subscription COGS Assumptions</t>
  </si>
  <si>
    <t>% of Subscription Rev</t>
  </si>
  <si>
    <t>Base Case (Average of past 5 years)</t>
  </si>
  <si>
    <t>Subscription COGS Currently in Model</t>
  </si>
  <si>
    <t>Professional Services COGS Assumptions</t>
  </si>
  <si>
    <t>Professional Services COGS Currently in Model</t>
  </si>
  <si>
    <t>Sales &amp; Marketing OpEx Assumptions</t>
  </si>
  <si>
    <t>% Growth Rate</t>
  </si>
  <si>
    <t>Sales &amp; Marketing OpEx Currently in Model</t>
  </si>
  <si>
    <t>Research and Development OpEx Assumptions</t>
  </si>
  <si>
    <t xml:space="preserve">% Growth Rate </t>
  </si>
  <si>
    <t>Research and Development OpEx Currently in Model</t>
  </si>
  <si>
    <t>General and Administrative OpEx Assumptions</t>
  </si>
  <si>
    <t>% Of Subscription Revnue</t>
  </si>
  <si>
    <t>General and Administrative OpEx Currently in Model</t>
  </si>
  <si>
    <t>Income Tax Provision (% of Income Before Provision for Taxes)</t>
  </si>
  <si>
    <t>Balance Sheet</t>
  </si>
  <si>
    <t>ASSETS</t>
  </si>
  <si>
    <t>Current Assets:</t>
  </si>
  <si>
    <t>Cash and cash equivalents</t>
  </si>
  <si>
    <t>Short-term investments</t>
  </si>
  <si>
    <t>Accounts receivable</t>
  </si>
  <si>
    <t>Deferred contract acquisition costs, current</t>
  </si>
  <si>
    <t>Prepaid expenses and other current assets</t>
  </si>
  <si>
    <t>Total Current Assets</t>
  </si>
  <si>
    <t>Strategic investments</t>
  </si>
  <si>
    <t>Property and equipment, net</t>
  </si>
  <si>
    <t>Operating Lease right-of-use assets</t>
  </si>
  <si>
    <t>Deferred contract acquisition costs, current and noncurrent</t>
  </si>
  <si>
    <t>Goodwill</t>
  </si>
  <si>
    <t>Intangible assets, net</t>
  </si>
  <si>
    <t>Other long-term assets</t>
  </si>
  <si>
    <t>TOTAL ASSETS</t>
  </si>
  <si>
    <t>LIABILITIES AND STOCKHOLDERS' EQUITY</t>
  </si>
  <si>
    <t>Current Liabilities:</t>
  </si>
  <si>
    <t>Accounts payable, Accrued Expenses, Payroll, and Benefits</t>
  </si>
  <si>
    <t>Operating lease liabilities, current</t>
  </si>
  <si>
    <t>Deferred revenue</t>
  </si>
  <si>
    <t>Other current liabilities</t>
  </si>
  <si>
    <t>Total Current Liabilities</t>
  </si>
  <si>
    <t>Long-term debt</t>
  </si>
  <si>
    <t>Deferred revenue, noncurrent</t>
  </si>
  <si>
    <t>Operating lease liabilities, noncurrent</t>
  </si>
  <si>
    <t>Other liabilities, noncurrent</t>
  </si>
  <si>
    <t>TOTAL LIABILITIES</t>
  </si>
  <si>
    <t>STOCKHOLDERS' EQUITY</t>
  </si>
  <si>
    <t>Contributed Capital</t>
  </si>
  <si>
    <t>Retained Earnings/Accumulated Deficit</t>
  </si>
  <si>
    <t>Accumulated other comprehensive (loss) income</t>
  </si>
  <si>
    <t>Total CrowdStrike Holdings, Inc. stockholders' equity</t>
  </si>
  <si>
    <t>Non-controlling interest</t>
  </si>
  <si>
    <t>Total Stockholders' Equity (Deficit)</t>
  </si>
  <si>
    <t>TOTAL LIABILITIES AND STOCKHOLDERS' EQUITY</t>
  </si>
  <si>
    <t>Check</t>
  </si>
  <si>
    <t>Projected:</t>
  </si>
  <si>
    <t>NWC Assumptions</t>
  </si>
  <si>
    <t>Day Sales Outstanding (365/Accounts Receivable Turnover Ratio)</t>
  </si>
  <si>
    <t>Days Payables Outstanding (365/Accounts Payable Turnover Ratio)</t>
  </si>
  <si>
    <t>Deferred Contract Acquisition Costs (Subscription Rev Growth Rate)</t>
  </si>
  <si>
    <t>Base (Total Revenue Growth Rate)</t>
  </si>
  <si>
    <t>Deferred Contract Acquisition Costs Rate Currently in Model</t>
  </si>
  <si>
    <t>Prepaid Expenses and Other Current Assets</t>
  </si>
  <si>
    <t>Base (COGS Growth Rate)</t>
  </si>
  <si>
    <t>Prepaid Expenses Rate Currently in Model</t>
  </si>
  <si>
    <t>Deferred Revenue (Current0</t>
  </si>
  <si>
    <t>Base (Revenue Growth Rate)</t>
  </si>
  <si>
    <t>Deferred Revenue Currently in Model</t>
  </si>
  <si>
    <t>Deferred Revenue (Non-Current)</t>
  </si>
  <si>
    <t>Property Plant and Equipment</t>
  </si>
  <si>
    <t>Beginning PP&amp;E</t>
  </si>
  <si>
    <t>Capital Expenditures</t>
  </si>
  <si>
    <t>Depreciation and Amortization</t>
  </si>
  <si>
    <t>Ending PP&amp;E</t>
  </si>
  <si>
    <t>Operating Lease Right of Use Liabilities</t>
  </si>
  <si>
    <t>Base (%Revenue)</t>
  </si>
  <si>
    <t>Deferred Contract Acquisition Costs</t>
  </si>
  <si>
    <t>Beginning Deferred Contract Acquisition Costs (Current + Noncurrent)</t>
  </si>
  <si>
    <t>Additional Purchases</t>
  </si>
  <si>
    <t>Amortization</t>
  </si>
  <si>
    <t>Ending Deferred Contract Acquisition Costs (Current + Noncurrent)</t>
  </si>
  <si>
    <t>Intangible Assets</t>
  </si>
  <si>
    <t>Beginning Intangible Assets</t>
  </si>
  <si>
    <t>Purchases</t>
  </si>
  <si>
    <t>Ending Intangible Assets</t>
  </si>
  <si>
    <t>Cash Flow Statement</t>
  </si>
  <si>
    <t>OPERATING ACTIVITIES</t>
  </si>
  <si>
    <t>Case</t>
  </si>
  <si>
    <t>Net income (loss)</t>
  </si>
  <si>
    <t>Adjustments to reconcile net income (loss) to net cash provided (used) by operating activities:</t>
  </si>
  <si>
    <t>Depreciation and amortization</t>
  </si>
  <si>
    <t>Loss on disposal of fixed assets</t>
  </si>
  <si>
    <t>Amortization of intangible assets</t>
  </si>
  <si>
    <t>Amortization of deferred contract acquisition costs</t>
  </si>
  <si>
    <t>Non-cash operating lease cost</t>
  </si>
  <si>
    <t>Change in fair value of redeemable convertible preferred stock warrant liability</t>
  </si>
  <si>
    <t>Provision for bad debts</t>
  </si>
  <si>
    <t>Stock-based compensation expense</t>
  </si>
  <si>
    <t>Deferred income taxes</t>
  </si>
  <si>
    <t>Realized gains on strategic investments</t>
  </si>
  <si>
    <t>Gain on sale of debt securities, net</t>
  </si>
  <si>
    <t>Accretion of marketable securities purchased at a discount</t>
  </si>
  <si>
    <t>Non-cash interest expense</t>
  </si>
  <si>
    <t>Other non-cash charges</t>
  </si>
  <si>
    <t>Change in fair value of strategic investments</t>
  </si>
  <si>
    <t>Changes in operating assets and liabilities, net of business combinations</t>
  </si>
  <si>
    <t>Deferred contract acquisition costs</t>
  </si>
  <si>
    <t>Prepaid expenses and other assets</t>
  </si>
  <si>
    <t>Accounts payable, Accured expenses, Accured payroll, and other current liabilities</t>
  </si>
  <si>
    <t>Operating lease liabilities</t>
  </si>
  <si>
    <t>Net cash provided by (used in) operating activities</t>
  </si>
  <si>
    <t>INVESTING ACTIVITIES</t>
  </si>
  <si>
    <t>Purchases of property and equipment, including capitalized internal-use software</t>
  </si>
  <si>
    <t>Purchase of strategic investments</t>
  </si>
  <si>
    <t>Proceeds from sales of strategic investments</t>
  </si>
  <si>
    <t>Business acquisitions, net of cash acquired</t>
  </si>
  <si>
    <t>Purchases of intangible assets</t>
  </si>
  <si>
    <t>Purchases of marketable securities</t>
  </si>
  <si>
    <t>Proceeds from sales of marketable securities</t>
  </si>
  <si>
    <t>Purchases of deferred compensation investments</t>
  </si>
  <si>
    <t>Net cash used in investing activities</t>
  </si>
  <si>
    <t>FINANCING ACTIVITIES</t>
  </si>
  <si>
    <t>Repayment of loan payable</t>
  </si>
  <si>
    <t>Proceeds from revolving line of credit</t>
  </si>
  <si>
    <t>Repayment of revolving line of credit</t>
  </si>
  <si>
    <t>Issuance of notes receivable to related parties</t>
  </si>
  <si>
    <t>Repayment of notes receivable from related parties</t>
  </si>
  <si>
    <t>Payments of contingent consideration</t>
  </si>
  <si>
    <t>Payments of indemnity holdback</t>
  </si>
  <si>
    <t>Repurchase of stock options</t>
  </si>
  <si>
    <t>Payments of debt issuance costs related to revolving line of credit</t>
  </si>
  <si>
    <t>Payments of debt issuance costs related to Senior Notes</t>
  </si>
  <si>
    <t>Proceeds from issuance of Senior Notes, net of debt financing costs</t>
  </si>
  <si>
    <t>Payments of deferred offering costs</t>
  </si>
  <si>
    <t>Proceeds from the issuance of common stock upon initial public offering, net of underwriting discounts</t>
  </si>
  <si>
    <t>Proceeds from issuance of redeemable convertible preferred stock, net of issuance costs</t>
  </si>
  <si>
    <t>Proceeds from issuance of common stock upon exercise of stock options</t>
  </si>
  <si>
    <t>Proceeds from issuance of common stock under the employee stock purchase plan</t>
  </si>
  <si>
    <t>Settlement related to stockholder short-swing trade profit</t>
  </si>
  <si>
    <t>Capital contributions from non-controlling interest holders</t>
  </si>
  <si>
    <t>Net cash provided by financing activities</t>
  </si>
  <si>
    <t>Effect of foreign exchange rates on cash and cash equivalents</t>
  </si>
  <si>
    <t>Net increase in cash and cash equivalents</t>
  </si>
  <si>
    <t>Cash and cash equivalents, beginning of period</t>
  </si>
  <si>
    <t>Cash and cash equivalents, end of period</t>
  </si>
  <si>
    <t>Assumptions</t>
  </si>
  <si>
    <t>Purchases of Property and Equipment (including capitalized use of software)</t>
  </si>
  <si>
    <t>Base Case (4.82% of Rev)</t>
  </si>
  <si>
    <t>Purchase of PP&amp;E Currently in Model</t>
  </si>
  <si>
    <t>Depreciation &amp; Amortization Schedule</t>
  </si>
  <si>
    <t>Year</t>
  </si>
  <si>
    <t>CapEx</t>
  </si>
  <si>
    <t>Useful Life (yrs)</t>
  </si>
  <si>
    <t>Salvage Value</t>
  </si>
  <si>
    <t>Total Forecast Depreciation</t>
  </si>
  <si>
    <t>Plus Existing Depreciation</t>
  </si>
  <si>
    <t>Total Depreciation</t>
  </si>
  <si>
    <t>Purchases of Intangible Assets</t>
  </si>
  <si>
    <t>Base Case (0.18% of Rev)</t>
  </si>
  <si>
    <t>Total Forecast Amortization of Intangible Assets</t>
  </si>
  <si>
    <t>Plus Existing Amortization of Intangible Assets</t>
  </si>
  <si>
    <t>Total Amortization of Intangible Assets in Model</t>
  </si>
  <si>
    <t>Base Case (11.24% of Rev)</t>
  </si>
  <si>
    <t>Deferred Contract Acuiqistion Costs in Model</t>
  </si>
  <si>
    <t>Total Amortization of deferred contract acquisition costs in model</t>
  </si>
  <si>
    <t>**Do not change here</t>
  </si>
  <si>
    <t>Revenue Model Case #</t>
  </si>
  <si>
    <t>FCFF DCF</t>
  </si>
  <si>
    <t>Revenue</t>
  </si>
  <si>
    <t>COGS</t>
  </si>
  <si>
    <t>Gross Profit</t>
  </si>
  <si>
    <t>Gross Profit Margin %</t>
  </si>
  <si>
    <t>Opex</t>
  </si>
  <si>
    <t>EBIT</t>
  </si>
  <si>
    <t>EBIT Margin %</t>
  </si>
  <si>
    <t>Taxes (Subtract)</t>
  </si>
  <si>
    <t>NOPAT</t>
  </si>
  <si>
    <t>Depreciation &amp; Amortization Items</t>
  </si>
  <si>
    <t>D&amp;A (Add)</t>
  </si>
  <si>
    <t>Amortization of intangible assets (Add)</t>
  </si>
  <si>
    <t>Amortization of deferred contract acquisition costs (Add)</t>
  </si>
  <si>
    <t>Change in Current Assets (Subtract)</t>
  </si>
  <si>
    <t>Change in Current Liabilities (Add)</t>
  </si>
  <si>
    <t>Accounts payable, accured expenses and other items</t>
  </si>
  <si>
    <t>Investing Activites (Subtract)</t>
  </si>
  <si>
    <t>Purchases of PP&amp;E</t>
  </si>
  <si>
    <t>FCFF</t>
  </si>
  <si>
    <t>Discount Rate</t>
  </si>
  <si>
    <t># of Shares Outstanding</t>
  </si>
  <si>
    <t>FCF growth after 2029</t>
  </si>
  <si>
    <t>Terminal Growth Rate</t>
  </si>
  <si>
    <t>TV</t>
  </si>
  <si>
    <t>Discount Factor</t>
  </si>
  <si>
    <t>PV FCFF</t>
  </si>
  <si>
    <t>Enterprise Value</t>
  </si>
  <si>
    <t>Current Share Price</t>
  </si>
  <si>
    <t>Cash + Equivalents (Add)</t>
  </si>
  <si>
    <t>Caculated Share Price</t>
  </si>
  <si>
    <t>Debt (Subtract)</t>
  </si>
  <si>
    <t>Upside/Downside</t>
  </si>
  <si>
    <t>Equity Value</t>
  </si>
  <si>
    <t>Min</t>
  </si>
  <si>
    <t>Number of Shares Outstanding</t>
  </si>
  <si>
    <t>Max</t>
  </si>
  <si>
    <t>Error Checking</t>
  </si>
  <si>
    <t>Balance sheet doesn't balance</t>
  </si>
  <si>
    <t>PP&amp;E Calculation doesn't match the Balance Sheet</t>
  </si>
  <si>
    <t>Other Intangible Assets Calc doesn't match the Balance Sheet</t>
  </si>
  <si>
    <t>Income Statement</t>
  </si>
  <si>
    <t>Projection (Based on YoY Rate from 2019-2024)</t>
  </si>
  <si>
    <t>Subscription COGS % of Subscription Revenue</t>
  </si>
  <si>
    <t>Prof. Services COCGS % of Prof. Services Revenue</t>
  </si>
  <si>
    <t>Operating Expenses (% of Rev)</t>
  </si>
  <si>
    <t>Deferred contract acquisition costs: % of total</t>
  </si>
  <si>
    <t>(Straightlined)</t>
  </si>
  <si>
    <t>NonControlling Interest (% of CrowdStrike's Equity)</t>
  </si>
  <si>
    <t>Cash Flow</t>
  </si>
  <si>
    <t xml:space="preserve">Projection </t>
  </si>
  <si>
    <t>Capital Expenditures (% of Revenue)</t>
  </si>
  <si>
    <t>(Based on Average of 2019 and 2024)</t>
  </si>
  <si>
    <t>Intangible Assets (% of Revenue)</t>
  </si>
  <si>
    <t>Deferred Contract Acquisition Costs (% of Revenue)</t>
  </si>
  <si>
    <t>(Based on YoY 2019-2024)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</si>
</sst>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_);(#,##0)"/>
    <numFmt numFmtId="165" formatCode="#,##0.0_);(#,##0.0)"/>
    <numFmt numFmtId="166" formatCode="#,##0.00_);(#,##0.00)"/>
    <numFmt numFmtId="167" formatCode="#,##0.00;(#,##0.00)"/>
    <numFmt numFmtId="168" formatCode="&quot;$&quot;#,##0.00"/>
  </numFmts>
  <fonts count="17">
    <font>
      <sz val="10.0"/>
      <color rgb="FF000000"/>
      <name val="Arial"/>
      <scheme val="minor"/>
    </font>
    <font>
      <b/>
      <color theme="1"/>
      <name val="Arial"/>
    </font>
    <font>
      <color theme="1"/>
      <name val="Arial"/>
    </font>
    <font>
      <color rgb="FF000000"/>
      <name val="Arial"/>
    </font>
    <font>
      <b/>
      <color rgb="FF000000"/>
      <name val="Arial"/>
    </font>
    <font>
      <sz val="11.0"/>
      <color theme="1"/>
      <name val="Calibri"/>
    </font>
    <font>
      <color rgb="FF0000FF"/>
      <name val="Arial"/>
    </font>
    <font>
      <sz val="11.0"/>
      <color rgb="FF0000FF"/>
      <name val="Calibri"/>
    </font>
    <font>
      <b/>
      <color rgb="FF0000FF"/>
      <name val="Arial"/>
    </font>
    <font>
      <b/>
      <sz val="11.0"/>
      <color rgb="FF0000FF"/>
      <name val="Calibri"/>
    </font>
    <font>
      <color rgb="FF980000"/>
      <name val="Arial"/>
    </font>
    <font>
      <b/>
      <color rgb="FF980000"/>
      <name val="Arial"/>
    </font>
    <font>
      <b/>
      <sz val="11.0"/>
      <color theme="1"/>
      <name val="Calibri"/>
    </font>
    <font>
      <sz val="11.0"/>
      <color rgb="FF000000"/>
      <name val="Calibri"/>
    </font>
    <font>
      <b/>
      <i/>
      <color theme="1"/>
      <name val="Arial"/>
    </font>
    <font>
      <i/>
      <color theme="1"/>
      <name val="Arial"/>
    </font>
    <font>
      <color rgb="FFFFFFFF"/>
      <name val="Arial"/>
    </font>
  </fonts>
  <fills count="8">
    <fill>
      <patternFill patternType="none"/>
    </fill>
    <fill>
      <patternFill patternType="lightGray"/>
    </fill>
    <fill>
      <patternFill patternType="solid">
        <fgColor rgb="FFFFFFFF"/>
        <bgColor rgb="FFFFFFFF"/>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00FF00"/>
        <bgColor rgb="FF00FF00"/>
      </patternFill>
    </fill>
  </fills>
  <borders count="9">
    <border/>
    <border>
      <bottom style="thin">
        <color rgb="FF000000"/>
      </bottom>
    </border>
    <border>
      <top style="thin">
        <color rgb="FF000000"/>
      </top>
    </border>
    <border>
      <left style="thin">
        <color rgb="FF000000"/>
      </left>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Font="1"/>
    <xf borderId="0" fillId="0" fontId="2" numFmtId="10" xfId="0" applyFont="1" applyNumberFormat="1"/>
    <xf borderId="0" fillId="0" fontId="2" numFmtId="0" xfId="0" applyFont="1"/>
    <xf borderId="0" fillId="0" fontId="2" numFmtId="9" xfId="0" applyFont="1" applyNumberFormat="1"/>
    <xf borderId="0" fillId="0" fontId="2" numFmtId="10" xfId="0" applyAlignment="1" applyFont="1" applyNumberFormat="1">
      <alignment horizontal="right" vertical="bottom"/>
    </xf>
    <xf borderId="1" fillId="0" fontId="2" numFmtId="0" xfId="0" applyBorder="1" applyFont="1"/>
    <xf borderId="1" fillId="0" fontId="2" numFmtId="10" xfId="0" applyAlignment="1" applyBorder="1" applyFont="1" applyNumberFormat="1">
      <alignment horizontal="right" vertical="bottom"/>
    </xf>
    <xf borderId="1" fillId="0" fontId="2" numFmtId="10" xfId="0" applyBorder="1" applyFont="1" applyNumberFormat="1"/>
    <xf borderId="0" fillId="2" fontId="3" numFmtId="0" xfId="0" applyAlignment="1" applyFill="1" applyFont="1">
      <alignment horizontal="left"/>
    </xf>
    <xf borderId="1" fillId="2" fontId="3" numFmtId="0" xfId="0" applyAlignment="1" applyBorder="1" applyFont="1">
      <alignment horizontal="left"/>
    </xf>
    <xf borderId="2" fillId="2" fontId="3" numFmtId="0" xfId="0" applyAlignment="1" applyBorder="1" applyFont="1">
      <alignment horizontal="right"/>
    </xf>
    <xf borderId="2" fillId="0" fontId="2" numFmtId="0" xfId="0" applyBorder="1" applyFont="1"/>
    <xf borderId="0" fillId="0" fontId="1" numFmtId="164" xfId="0" applyFont="1" applyNumberFormat="1"/>
    <xf borderId="0" fillId="0" fontId="2" numFmtId="164" xfId="0" applyFont="1" applyNumberFormat="1"/>
    <xf borderId="0" fillId="3" fontId="2" numFmtId="0" xfId="0" applyFill="1" applyFont="1"/>
    <xf borderId="0" fillId="0" fontId="1" numFmtId="0" xfId="0" applyAlignment="1" applyFont="1">
      <alignment horizontal="right"/>
    </xf>
    <xf borderId="0" fillId="0" fontId="1" numFmtId="1" xfId="0" applyAlignment="1" applyFont="1" applyNumberFormat="1">
      <alignment horizontal="right"/>
    </xf>
    <xf borderId="0" fillId="2" fontId="4" numFmtId="0" xfId="0" applyAlignment="1" applyFont="1">
      <alignment horizontal="right"/>
    </xf>
    <xf borderId="0" fillId="3" fontId="1" numFmtId="0" xfId="0" applyAlignment="1" applyFont="1">
      <alignment horizontal="right"/>
    </xf>
    <xf borderId="0" fillId="3" fontId="4" numFmtId="0" xfId="0" applyAlignment="1" applyFont="1">
      <alignment horizontal="right"/>
    </xf>
    <xf borderId="0" fillId="0" fontId="5" numFmtId="164" xfId="0" applyAlignment="1" applyFont="1" applyNumberFormat="1">
      <alignment vertical="bottom"/>
    </xf>
    <xf borderId="0" fillId="0" fontId="6" numFmtId="164" xfId="0" applyFont="1" applyNumberFormat="1"/>
    <xf borderId="0" fillId="0" fontId="7" numFmtId="164" xfId="0" applyAlignment="1" applyFont="1" applyNumberFormat="1">
      <alignment horizontal="right" vertical="bottom"/>
    </xf>
    <xf borderId="0" fillId="3" fontId="6" numFmtId="164" xfId="0" applyFont="1" applyNumberFormat="1"/>
    <xf borderId="0" fillId="0" fontId="3" numFmtId="164" xfId="0" applyFont="1" applyNumberFormat="1"/>
    <xf borderId="0" fillId="3" fontId="3" numFmtId="164" xfId="0" applyFont="1" applyNumberFormat="1"/>
    <xf borderId="0" fillId="4" fontId="2" numFmtId="164" xfId="0" applyFill="1" applyFont="1" applyNumberFormat="1"/>
    <xf borderId="0" fillId="4" fontId="6" numFmtId="164" xfId="0" applyFont="1" applyNumberFormat="1"/>
    <xf borderId="0" fillId="4" fontId="3" numFmtId="10" xfId="0" applyFont="1" applyNumberFormat="1"/>
    <xf borderId="0" fillId="3" fontId="3" numFmtId="10" xfId="0" applyFont="1" applyNumberFormat="1"/>
    <xf borderId="0" fillId="0" fontId="4" numFmtId="164" xfId="0" applyFont="1" applyNumberFormat="1"/>
    <xf borderId="0" fillId="0" fontId="3" numFmtId="10" xfId="0" applyFont="1" applyNumberFormat="1"/>
    <xf borderId="0" fillId="0" fontId="8" numFmtId="164" xfId="0" applyFont="1" applyNumberFormat="1"/>
    <xf borderId="0" fillId="0" fontId="9" numFmtId="164" xfId="0" applyAlignment="1" applyFont="1" applyNumberFormat="1">
      <alignment horizontal="right" vertical="bottom"/>
    </xf>
    <xf borderId="0" fillId="3" fontId="8" numFmtId="164" xfId="0" applyFont="1" applyNumberFormat="1"/>
    <xf borderId="0" fillId="3" fontId="4" numFmtId="164" xfId="0" applyFont="1" applyNumberFormat="1"/>
    <xf borderId="0" fillId="3" fontId="2" numFmtId="10" xfId="0" applyFont="1" applyNumberFormat="1"/>
    <xf borderId="0" fillId="3" fontId="1" numFmtId="0" xfId="0" applyFont="1"/>
    <xf borderId="0" fillId="0" fontId="6" numFmtId="0" xfId="0" applyFont="1"/>
    <xf borderId="0" fillId="3" fontId="6" numFmtId="0" xfId="0" applyFont="1"/>
    <xf borderId="0" fillId="5" fontId="2" numFmtId="0" xfId="0" applyFill="1" applyFont="1"/>
    <xf borderId="0" fillId="5" fontId="2" numFmtId="164" xfId="0" applyFont="1" applyNumberFormat="1"/>
    <xf borderId="0" fillId="5" fontId="2" numFmtId="10" xfId="0" applyFont="1" applyNumberFormat="1"/>
    <xf borderId="0" fillId="3" fontId="1" numFmtId="164" xfId="0" applyFont="1" applyNumberFormat="1"/>
    <xf borderId="0" fillId="6" fontId="2" numFmtId="0" xfId="0" applyFill="1" applyFont="1"/>
    <xf borderId="0" fillId="6" fontId="2" numFmtId="164" xfId="0" applyFont="1" applyNumberFormat="1"/>
    <xf borderId="0" fillId="6" fontId="2" numFmtId="10" xfId="0" applyFont="1" applyNumberFormat="1"/>
    <xf borderId="0" fillId="2" fontId="4" numFmtId="0" xfId="0" applyAlignment="1" applyFont="1">
      <alignment horizontal="left"/>
    </xf>
    <xf borderId="0" fillId="3" fontId="2" numFmtId="164" xfId="0" applyFont="1" applyNumberFormat="1"/>
    <xf borderId="0" fillId="0" fontId="2" numFmtId="165" xfId="0" applyFont="1" applyNumberFormat="1"/>
    <xf borderId="0" fillId="4" fontId="2" numFmtId="0" xfId="0" applyFont="1"/>
    <xf borderId="0" fillId="4" fontId="2" numFmtId="10" xfId="0" applyFont="1" applyNumberFormat="1"/>
    <xf borderId="0" fillId="0" fontId="1" numFmtId="164" xfId="0" applyAlignment="1" applyFont="1" applyNumberFormat="1">
      <alignment vertical="bottom"/>
    </xf>
    <xf borderId="0" fillId="0" fontId="1" numFmtId="164" xfId="0" applyAlignment="1" applyFont="1" applyNumberFormat="1">
      <alignment horizontal="right" vertical="bottom"/>
    </xf>
    <xf borderId="0" fillId="0" fontId="6" numFmtId="10" xfId="0" applyFont="1" applyNumberFormat="1"/>
    <xf borderId="0" fillId="0" fontId="4" numFmtId="10" xfId="0" applyFont="1" applyNumberFormat="1"/>
    <xf borderId="0" fillId="0" fontId="10" numFmtId="164" xfId="0" applyFont="1" applyNumberFormat="1"/>
    <xf borderId="0" fillId="3" fontId="10" numFmtId="164" xfId="0" applyFont="1" applyNumberFormat="1"/>
    <xf borderId="0" fillId="0" fontId="11" numFmtId="164" xfId="0" applyFont="1" applyNumberFormat="1"/>
    <xf borderId="0" fillId="3" fontId="11" numFmtId="164" xfId="0" applyFont="1" applyNumberFormat="1"/>
    <xf borderId="0" fillId="0" fontId="3" numFmtId="0" xfId="0" applyFont="1"/>
    <xf borderId="0" fillId="0" fontId="4" numFmtId="0" xfId="0" applyFont="1"/>
    <xf borderId="0" fillId="0" fontId="6" numFmtId="9" xfId="0" applyFont="1" applyNumberFormat="1"/>
    <xf borderId="0" fillId="0" fontId="1" numFmtId="1" xfId="0" applyFont="1" applyNumberFormat="1"/>
    <xf borderId="0" fillId="0" fontId="7" numFmtId="164" xfId="0" applyAlignment="1" applyFont="1" applyNumberFormat="1">
      <alignment vertical="bottom"/>
    </xf>
    <xf borderId="0" fillId="0" fontId="2" numFmtId="166" xfId="0" applyFont="1" applyNumberFormat="1"/>
    <xf borderId="0" fillId="0" fontId="12" numFmtId="0" xfId="0" applyAlignment="1" applyFont="1">
      <alignment vertical="bottom"/>
    </xf>
    <xf borderId="0" fillId="0" fontId="5" numFmtId="0" xfId="0" applyAlignment="1" applyFont="1">
      <alignment vertical="bottom"/>
    </xf>
    <xf borderId="0" fillId="0" fontId="5" numFmtId="164" xfId="0" applyAlignment="1" applyFont="1" applyNumberFormat="1">
      <alignment horizontal="right" vertical="bottom"/>
    </xf>
    <xf borderId="0" fillId="0" fontId="10" numFmtId="10" xfId="0" applyFont="1" applyNumberFormat="1"/>
    <xf borderId="0" fillId="0" fontId="10" numFmtId="9" xfId="0" applyFont="1" applyNumberFormat="1"/>
    <xf borderId="0" fillId="0" fontId="12" numFmtId="1" xfId="0" applyAlignment="1" applyFont="1" applyNumberFormat="1">
      <alignment horizontal="right" vertical="bottom"/>
    </xf>
    <xf borderId="0" fillId="7" fontId="2" numFmtId="0" xfId="0" applyFill="1" applyFont="1"/>
    <xf borderId="0" fillId="0" fontId="6" numFmtId="49" xfId="0" applyFont="1" applyNumberFormat="1"/>
    <xf borderId="0" fillId="0" fontId="1" numFmtId="167" xfId="0" applyFont="1" applyNumberFormat="1"/>
    <xf borderId="0" fillId="0" fontId="1" numFmtId="4" xfId="0" applyFont="1" applyNumberFormat="1"/>
    <xf borderId="0" fillId="0" fontId="2" numFmtId="167" xfId="0" applyFont="1" applyNumberFormat="1"/>
    <xf borderId="0" fillId="0" fontId="2" numFmtId="4" xfId="0" applyFont="1" applyNumberFormat="1"/>
    <xf borderId="0" fillId="0" fontId="1" numFmtId="10" xfId="0" applyFont="1" applyNumberFormat="1"/>
    <xf borderId="0" fillId="0" fontId="2" numFmtId="1" xfId="0" applyFont="1" applyNumberFormat="1"/>
    <xf borderId="0" fillId="0" fontId="13" numFmtId="164" xfId="0" applyAlignment="1" applyFont="1" applyNumberFormat="1">
      <alignment horizontal="right" vertical="bottom"/>
    </xf>
    <xf borderId="0" fillId="0" fontId="5" numFmtId="3" xfId="0" applyAlignment="1" applyFont="1" applyNumberFormat="1">
      <alignment vertical="bottom"/>
    </xf>
    <xf borderId="0" fillId="7" fontId="5" numFmtId="3" xfId="0" applyAlignment="1" applyFont="1" applyNumberFormat="1">
      <alignment vertical="bottom"/>
    </xf>
    <xf borderId="0" fillId="0" fontId="2" numFmtId="49" xfId="0" applyFont="1" applyNumberFormat="1"/>
    <xf borderId="3" fillId="0" fontId="1" numFmtId="0" xfId="0" applyAlignment="1" applyBorder="1" applyFont="1">
      <alignment vertical="bottom"/>
    </xf>
    <xf borderId="0" fillId="0" fontId="2" numFmtId="3" xfId="0" applyAlignment="1" applyFont="1" applyNumberFormat="1">
      <alignment vertical="bottom"/>
    </xf>
    <xf borderId="0" fillId="0" fontId="1" numFmtId="1" xfId="0" applyAlignment="1" applyFont="1" applyNumberFormat="1">
      <alignment horizontal="right" vertical="bottom"/>
    </xf>
    <xf borderId="0" fillId="0" fontId="2" numFmtId="164" xfId="0" applyAlignment="1" applyFont="1" applyNumberFormat="1">
      <alignment horizontal="right" vertical="bottom"/>
    </xf>
    <xf borderId="0" fillId="0" fontId="6" numFmtId="3" xfId="0" applyAlignment="1" applyFont="1" applyNumberFormat="1">
      <alignment horizontal="right" vertical="bottom"/>
    </xf>
    <xf borderId="0" fillId="0" fontId="2" numFmtId="164" xfId="0" applyAlignment="1" applyFont="1" applyNumberFormat="1">
      <alignment vertical="bottom"/>
    </xf>
    <xf borderId="0" fillId="0" fontId="1" numFmtId="0" xfId="0" applyAlignment="1" applyFont="1">
      <alignment vertical="bottom"/>
    </xf>
    <xf borderId="0" fillId="0" fontId="11" numFmtId="0" xfId="0" applyAlignment="1" applyFont="1">
      <alignment vertical="bottom"/>
    </xf>
    <xf borderId="0" fillId="0" fontId="2" numFmtId="0" xfId="0" applyAlignment="1" applyFont="1">
      <alignment vertical="bottom"/>
    </xf>
    <xf borderId="0" fillId="0" fontId="11" numFmtId="0" xfId="0" applyAlignment="1" applyFont="1">
      <alignment horizontal="right" vertical="bottom"/>
    </xf>
    <xf borderId="4" fillId="0" fontId="2" numFmtId="0" xfId="0" applyAlignment="1" applyBorder="1" applyFont="1">
      <alignment vertical="bottom"/>
    </xf>
    <xf borderId="2" fillId="0" fontId="1" numFmtId="0" xfId="0" applyAlignment="1" applyBorder="1" applyFont="1">
      <alignment horizontal="right" vertical="bottom"/>
    </xf>
    <xf borderId="5" fillId="0" fontId="2" numFmtId="0" xfId="0" applyAlignment="1" applyBorder="1" applyFont="1">
      <alignment vertical="bottom"/>
    </xf>
    <xf borderId="6" fillId="0" fontId="2" numFmtId="0" xfId="0" applyAlignment="1" applyBorder="1" applyFont="1">
      <alignment vertical="bottom"/>
    </xf>
    <xf borderId="3" fillId="0" fontId="2" numFmtId="0" xfId="0" applyAlignment="1" applyBorder="1" applyFont="1">
      <alignment vertical="bottom"/>
    </xf>
    <xf borderId="3" fillId="0" fontId="14" numFmtId="0" xfId="0" applyAlignment="1" applyBorder="1" applyFont="1">
      <alignment vertical="bottom"/>
    </xf>
    <xf borderId="0" fillId="0" fontId="15" numFmtId="10" xfId="0" applyAlignment="1" applyFont="1" applyNumberFormat="1">
      <alignment horizontal="right" vertical="bottom"/>
    </xf>
    <xf borderId="3" fillId="0" fontId="15" numFmtId="0" xfId="0" applyAlignment="1" applyBorder="1" applyFont="1">
      <alignment vertical="bottom"/>
    </xf>
    <xf borderId="0" fillId="0" fontId="1" numFmtId="0" xfId="0" applyAlignment="1" applyFont="1">
      <alignment horizontal="right" vertical="bottom"/>
    </xf>
    <xf borderId="0" fillId="0" fontId="2" numFmtId="0" xfId="0" applyAlignment="1" applyFont="1">
      <alignment horizontal="right" vertical="bottom"/>
    </xf>
    <xf borderId="7" fillId="0" fontId="1" numFmtId="0" xfId="0" applyAlignment="1" applyBorder="1" applyFont="1">
      <alignment vertical="bottom"/>
    </xf>
    <xf borderId="1" fillId="0" fontId="2" numFmtId="164" xfId="0" applyAlignment="1" applyBorder="1" applyFont="1" applyNumberFormat="1">
      <alignment horizontal="right" vertical="bottom"/>
    </xf>
    <xf borderId="8" fillId="0" fontId="2" numFmtId="0" xfId="0" applyAlignment="1" applyBorder="1" applyFont="1">
      <alignment vertical="bottom"/>
    </xf>
    <xf borderId="4" fillId="0" fontId="1" numFmtId="0" xfId="0" applyAlignment="1" applyBorder="1" applyFont="1">
      <alignment vertical="bottom"/>
    </xf>
    <xf borderId="2" fillId="0" fontId="2" numFmtId="164" xfId="0" applyAlignment="1" applyBorder="1" applyFont="1" applyNumberFormat="1">
      <alignment vertical="bottom"/>
    </xf>
    <xf borderId="2" fillId="0" fontId="16" numFmtId="10" xfId="0" applyBorder="1" applyFont="1" applyNumberFormat="1"/>
    <xf borderId="5" fillId="0" fontId="2" numFmtId="164" xfId="0" applyAlignment="1" applyBorder="1" applyFont="1" applyNumberFormat="1">
      <alignment vertical="bottom"/>
    </xf>
    <xf borderId="6" fillId="0" fontId="1" numFmtId="0" xfId="0" applyAlignment="1" applyBorder="1" applyFont="1">
      <alignment vertical="bottom"/>
    </xf>
    <xf borderId="0" fillId="0" fontId="2" numFmtId="3" xfId="0" applyFont="1" applyNumberFormat="1"/>
    <xf borderId="6" fillId="0" fontId="2" numFmtId="164" xfId="0" applyAlignment="1" applyBorder="1" applyFont="1" applyNumberFormat="1">
      <alignment horizontal="right" vertical="bottom"/>
    </xf>
    <xf borderId="0" fillId="0" fontId="2" numFmtId="4" xfId="0" applyAlignment="1" applyFont="1" applyNumberFormat="1">
      <alignment horizontal="right" vertical="bottom"/>
    </xf>
    <xf borderId="6" fillId="0" fontId="2" numFmtId="4" xfId="0" applyAlignment="1" applyBorder="1" applyFont="1" applyNumberFormat="1">
      <alignment horizontal="right" vertical="bottom"/>
    </xf>
    <xf borderId="0" fillId="0" fontId="2" numFmtId="10" xfId="0" applyAlignment="1" applyFont="1" applyNumberFormat="1">
      <alignment vertical="bottom"/>
    </xf>
    <xf borderId="0" fillId="0" fontId="2" numFmtId="168" xfId="0" applyAlignment="1" applyFont="1" applyNumberFormat="1">
      <alignment horizontal="right" vertical="bottom"/>
    </xf>
    <xf borderId="1" fillId="0" fontId="2" numFmtId="0" xfId="0" applyAlignment="1" applyBorder="1" applyFont="1">
      <alignment vertical="bottom"/>
    </xf>
    <xf borderId="0" fillId="0" fontId="2" numFmtId="4" xfId="0" applyAlignment="1" applyFont="1" applyNumberFormat="1">
      <alignment vertical="bottom"/>
    </xf>
    <xf borderId="0" fillId="0" fontId="10" numFmtId="167"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sheetData>
    <row r="1" ht="15.75" customHeight="1">
      <c r="A1" s="1" t="s">
        <v>0</v>
      </c>
      <c r="C1" s="2"/>
      <c r="G1" s="3" t="s">
        <v>1</v>
      </c>
      <c r="N1" s="1" t="s">
        <v>2</v>
      </c>
    </row>
    <row r="2" ht="15.75" customHeight="1">
      <c r="A2" s="3" t="s">
        <v>3</v>
      </c>
      <c r="B2" s="3" t="s">
        <v>4</v>
      </c>
      <c r="C2" s="2" t="s">
        <v>5</v>
      </c>
      <c r="D2" s="3" t="s">
        <v>6</v>
      </c>
      <c r="E2" s="3" t="s">
        <v>7</v>
      </c>
      <c r="F2" s="3" t="s">
        <v>8</v>
      </c>
      <c r="G2" s="3" t="s">
        <v>9</v>
      </c>
      <c r="H2" s="3" t="s">
        <v>10</v>
      </c>
      <c r="I2" s="3" t="s">
        <v>11</v>
      </c>
      <c r="J2" s="3" t="s">
        <v>12</v>
      </c>
      <c r="K2" s="3" t="s">
        <v>13</v>
      </c>
      <c r="N2" s="3" t="s">
        <v>3</v>
      </c>
      <c r="O2" s="3" t="s">
        <v>4</v>
      </c>
      <c r="P2" s="3" t="s">
        <v>5</v>
      </c>
    </row>
    <row r="3" ht="15.75" customHeight="1">
      <c r="A3" s="3" t="s">
        <v>14</v>
      </c>
      <c r="B3" s="3" t="s">
        <v>15</v>
      </c>
      <c r="C3" s="2">
        <v>0.35</v>
      </c>
      <c r="G3" s="3">
        <v>3865.0</v>
      </c>
      <c r="H3" s="3">
        <v>218.0</v>
      </c>
      <c r="I3" s="3">
        <v>918.0</v>
      </c>
      <c r="J3" s="3">
        <f>K3-I3</f>
        <v>46</v>
      </c>
      <c r="K3" s="3">
        <v>964.0</v>
      </c>
      <c r="N3" s="3">
        <v>2025.0</v>
      </c>
      <c r="O3" s="3" t="s">
        <v>15</v>
      </c>
      <c r="P3" s="4">
        <v>0.35</v>
      </c>
    </row>
    <row r="4" ht="15.75" customHeight="1">
      <c r="A4" s="3" t="s">
        <v>14</v>
      </c>
      <c r="B4" s="3">
        <v>5.0</v>
      </c>
      <c r="C4" s="5">
        <v>0.21</v>
      </c>
      <c r="N4" s="3">
        <v>2025.0</v>
      </c>
      <c r="O4" s="3">
        <v>5.0</v>
      </c>
      <c r="P4" s="4">
        <v>0.2</v>
      </c>
    </row>
    <row r="5" ht="15.75" customHeight="1">
      <c r="A5" s="3" t="s">
        <v>14</v>
      </c>
      <c r="B5" s="3">
        <v>6.0</v>
      </c>
      <c r="C5" s="5">
        <v>0.16</v>
      </c>
      <c r="N5" s="3">
        <v>2025.0</v>
      </c>
      <c r="O5" s="3">
        <v>6.0</v>
      </c>
      <c r="P5" s="4">
        <v>0.16</v>
      </c>
    </row>
    <row r="6" ht="15.75" customHeight="1">
      <c r="A6" s="6" t="s">
        <v>14</v>
      </c>
      <c r="B6" s="6" t="s">
        <v>16</v>
      </c>
      <c r="C6" s="7">
        <v>0.28</v>
      </c>
      <c r="D6" s="6"/>
      <c r="E6" s="6"/>
      <c r="F6" s="6"/>
      <c r="G6" s="6"/>
      <c r="H6" s="6"/>
      <c r="I6" s="6"/>
      <c r="J6" s="6"/>
      <c r="K6" s="6"/>
      <c r="N6" s="3">
        <v>2025.0</v>
      </c>
      <c r="O6" s="3" t="s">
        <v>16</v>
      </c>
      <c r="P6" s="4">
        <v>0.29</v>
      </c>
    </row>
    <row r="7" ht="15.75" customHeight="1">
      <c r="A7" s="3" t="s">
        <v>17</v>
      </c>
      <c r="B7" s="3" t="s">
        <v>15</v>
      </c>
      <c r="C7" s="2">
        <v>0.35</v>
      </c>
      <c r="G7" s="3">
        <v>3647.0</v>
      </c>
      <c r="H7" s="3">
        <v>212.0</v>
      </c>
      <c r="I7" s="3">
        <v>872.0</v>
      </c>
      <c r="J7" s="3">
        <f>K7-I7</f>
        <v>49</v>
      </c>
      <c r="K7" s="3">
        <v>921.0</v>
      </c>
      <c r="N7" s="3">
        <v>2024.0</v>
      </c>
      <c r="O7" s="3" t="s">
        <v>15</v>
      </c>
      <c r="P7" s="4">
        <v>0.36</v>
      </c>
    </row>
    <row r="8" ht="15.75" customHeight="1">
      <c r="A8" s="3" t="s">
        <v>17</v>
      </c>
      <c r="B8" s="3">
        <v>5.0</v>
      </c>
      <c r="C8" s="2">
        <v>0.21</v>
      </c>
      <c r="N8" s="3">
        <v>2024.0</v>
      </c>
      <c r="O8" s="3">
        <v>5.0</v>
      </c>
      <c r="P8" s="4">
        <v>0.21</v>
      </c>
    </row>
    <row r="9" ht="15.75" customHeight="1">
      <c r="A9" s="3" t="s">
        <v>17</v>
      </c>
      <c r="B9" s="3">
        <v>6.0</v>
      </c>
      <c r="C9" s="2">
        <v>0.16</v>
      </c>
      <c r="N9" s="3">
        <v>2024.0</v>
      </c>
      <c r="O9" s="3">
        <v>6.0</v>
      </c>
      <c r="P9" s="4">
        <v>0.17</v>
      </c>
    </row>
    <row r="10" ht="15.75" customHeight="1">
      <c r="A10" s="6" t="s">
        <v>17</v>
      </c>
      <c r="B10" s="6" t="s">
        <v>16</v>
      </c>
      <c r="C10" s="8">
        <v>0.28</v>
      </c>
      <c r="D10" s="6"/>
      <c r="E10" s="6"/>
      <c r="F10" s="6"/>
      <c r="G10" s="6"/>
      <c r="H10" s="6"/>
      <c r="I10" s="6"/>
      <c r="J10" s="6"/>
      <c r="K10" s="6"/>
      <c r="N10" s="3">
        <v>2024.0</v>
      </c>
      <c r="O10" s="3" t="s">
        <v>16</v>
      </c>
      <c r="P10" s="4">
        <v>0.27</v>
      </c>
    </row>
    <row r="11" ht="15.75" customHeight="1">
      <c r="A11" s="3" t="s">
        <v>18</v>
      </c>
      <c r="B11" s="3" t="s">
        <v>15</v>
      </c>
      <c r="C11" s="2">
        <v>0.36</v>
      </c>
      <c r="G11" s="3">
        <v>3435.0</v>
      </c>
      <c r="H11" s="3">
        <v>282.0</v>
      </c>
      <c r="I11" s="3">
        <v>796.0</v>
      </c>
      <c r="J11" s="3">
        <f>K11-I11</f>
        <v>49</v>
      </c>
      <c r="K11" s="3">
        <v>845.0</v>
      </c>
    </row>
    <row r="12" ht="15.75" customHeight="1">
      <c r="A12" s="3" t="s">
        <v>18</v>
      </c>
      <c r="B12" s="3">
        <v>5.0</v>
      </c>
      <c r="C12" s="2">
        <v>0.21</v>
      </c>
    </row>
    <row r="13" ht="15.75" customHeight="1">
      <c r="A13" s="9" t="s">
        <v>18</v>
      </c>
      <c r="B13" s="3">
        <v>6.0</v>
      </c>
      <c r="C13" s="2">
        <v>0.16</v>
      </c>
    </row>
    <row r="14" ht="15.75" customHeight="1">
      <c r="A14" s="10" t="s">
        <v>18</v>
      </c>
      <c r="B14" s="6" t="s">
        <v>16</v>
      </c>
      <c r="C14" s="8">
        <v>0.27</v>
      </c>
      <c r="D14" s="6"/>
      <c r="E14" s="6"/>
      <c r="F14" s="6"/>
      <c r="G14" s="6"/>
      <c r="H14" s="6"/>
      <c r="I14" s="6"/>
      <c r="J14" s="6"/>
      <c r="K14" s="6"/>
    </row>
    <row r="15" ht="15.75" customHeight="1">
      <c r="A15" s="9" t="s">
        <v>19</v>
      </c>
      <c r="B15" s="3" t="s">
        <v>15</v>
      </c>
      <c r="C15" s="2">
        <v>0.37</v>
      </c>
      <c r="G15" s="3">
        <v>3150.0</v>
      </c>
      <c r="H15" s="3">
        <v>223.0</v>
      </c>
      <c r="I15" s="3">
        <v>733.0</v>
      </c>
      <c r="J15" s="3">
        <f>K15-I15</f>
        <v>53</v>
      </c>
      <c r="K15" s="3">
        <v>786.0</v>
      </c>
    </row>
    <row r="16" ht="15.75" customHeight="1">
      <c r="A16" s="9" t="s">
        <v>19</v>
      </c>
      <c r="B16" s="3">
        <v>5.0</v>
      </c>
      <c r="C16" s="2">
        <v>0.21</v>
      </c>
    </row>
    <row r="17" ht="15.75" customHeight="1">
      <c r="A17" s="9" t="s">
        <v>19</v>
      </c>
      <c r="B17" s="3">
        <v>6.0</v>
      </c>
      <c r="C17" s="2">
        <v>0.16</v>
      </c>
    </row>
    <row r="18" ht="15.75" customHeight="1">
      <c r="A18" s="10" t="s">
        <v>19</v>
      </c>
      <c r="B18" s="6" t="s">
        <v>16</v>
      </c>
      <c r="C18" s="8">
        <v>0.26</v>
      </c>
      <c r="D18" s="6"/>
      <c r="E18" s="6"/>
      <c r="F18" s="6"/>
    </row>
    <row r="19" ht="15.75" customHeight="1">
      <c r="A19" s="9" t="s">
        <v>20</v>
      </c>
      <c r="B19" s="3" t="s">
        <v>15</v>
      </c>
      <c r="C19" s="2">
        <v>0.37</v>
      </c>
      <c r="G19" s="11">
        <v>2930.0</v>
      </c>
      <c r="H19" s="12">
        <v>196.0</v>
      </c>
      <c r="I19" s="12">
        <v>690.0</v>
      </c>
      <c r="J19" s="12">
        <f>K19-I19</f>
        <v>42</v>
      </c>
      <c r="K19" s="12">
        <v>732.0</v>
      </c>
    </row>
    <row r="20" ht="15.75" customHeight="1">
      <c r="A20" s="9" t="s">
        <v>20</v>
      </c>
      <c r="B20" s="3">
        <v>5.0</v>
      </c>
      <c r="C20" s="2">
        <v>0.22</v>
      </c>
    </row>
    <row r="21" ht="15.75" customHeight="1">
      <c r="A21" s="9" t="s">
        <v>20</v>
      </c>
      <c r="B21" s="3">
        <v>6.0</v>
      </c>
      <c r="C21" s="2">
        <v>0.17</v>
      </c>
    </row>
    <row r="22" ht="15.75" customHeight="1">
      <c r="A22" s="10" t="s">
        <v>20</v>
      </c>
      <c r="B22" s="6" t="s">
        <v>16</v>
      </c>
      <c r="C22" s="8">
        <v>0.24</v>
      </c>
      <c r="D22" s="6"/>
      <c r="E22" s="6"/>
      <c r="F22" s="6"/>
      <c r="G22" s="6"/>
      <c r="H22" s="6"/>
      <c r="I22" s="6"/>
      <c r="J22" s="6"/>
      <c r="K22" s="6"/>
    </row>
    <row r="23" ht="15.75" customHeight="1">
      <c r="A23" s="3" t="s">
        <v>21</v>
      </c>
      <c r="B23" s="3" t="s">
        <v>15</v>
      </c>
      <c r="C23" s="2">
        <v>0.38</v>
      </c>
      <c r="G23" s="3">
        <v>2734.0</v>
      </c>
      <c r="H23" s="3">
        <v>174.0</v>
      </c>
      <c r="I23" s="3">
        <v>651.0</v>
      </c>
      <c r="J23" s="3">
        <f>K23-I23</f>
        <v>42</v>
      </c>
      <c r="K23" s="3">
        <v>693.0</v>
      </c>
    </row>
    <row r="24" ht="15.75" customHeight="1">
      <c r="A24" s="3" t="s">
        <v>21</v>
      </c>
      <c r="B24" s="3">
        <v>5.0</v>
      </c>
      <c r="C24" s="2">
        <v>0.22</v>
      </c>
    </row>
    <row r="25" ht="15.75" customHeight="1">
      <c r="A25" s="3" t="s">
        <v>21</v>
      </c>
      <c r="B25" s="3">
        <v>6.0</v>
      </c>
      <c r="C25" s="2">
        <v>0.17</v>
      </c>
    </row>
    <row r="26" ht="15.75" customHeight="1">
      <c r="A26" s="6" t="s">
        <v>21</v>
      </c>
      <c r="B26" s="6" t="s">
        <v>16</v>
      </c>
      <c r="C26" s="8">
        <v>0.23</v>
      </c>
      <c r="D26" s="6"/>
      <c r="E26" s="6"/>
      <c r="F26" s="6"/>
      <c r="G26" s="6"/>
      <c r="H26" s="6"/>
      <c r="I26" s="6"/>
      <c r="J26" s="6"/>
      <c r="K26" s="6"/>
    </row>
    <row r="27" ht="15.75" customHeight="1">
      <c r="A27" s="3" t="s">
        <v>22</v>
      </c>
      <c r="B27" s="3" t="s">
        <v>15</v>
      </c>
      <c r="C27" s="2">
        <v>0.38</v>
      </c>
      <c r="D27" s="3">
        <f>F27-E27</f>
        <v>21146</v>
      </c>
      <c r="E27" s="3">
        <v>1873.0</v>
      </c>
      <c r="F27" s="3">
        <v>23019.0</v>
      </c>
      <c r="G27" s="3">
        <v>2560.0</v>
      </c>
      <c r="H27" s="3">
        <v>222.0</v>
      </c>
      <c r="I27" s="3">
        <v>598.0</v>
      </c>
      <c r="J27" s="3">
        <f>K27-I27</f>
        <v>39</v>
      </c>
      <c r="K27" s="3">
        <v>637.0</v>
      </c>
    </row>
    <row r="28" ht="15.75" customHeight="1">
      <c r="A28" s="3" t="s">
        <v>22</v>
      </c>
      <c r="B28" s="3">
        <v>5.0</v>
      </c>
      <c r="C28" s="2">
        <v>0.23</v>
      </c>
    </row>
    <row r="29" ht="15.75" customHeight="1">
      <c r="A29" s="9" t="s">
        <v>22</v>
      </c>
      <c r="B29" s="3">
        <v>6.0</v>
      </c>
      <c r="C29" s="2">
        <v>0.17</v>
      </c>
    </row>
    <row r="30" ht="15.75" customHeight="1">
      <c r="A30" s="10" t="s">
        <v>22</v>
      </c>
      <c r="B30" s="6" t="s">
        <v>16</v>
      </c>
      <c r="C30" s="8">
        <v>0.22</v>
      </c>
      <c r="D30" s="6"/>
      <c r="E30" s="6"/>
      <c r="F30" s="6"/>
      <c r="G30" s="6"/>
      <c r="H30" s="6"/>
      <c r="I30" s="6"/>
      <c r="J30" s="6"/>
      <c r="K30" s="6"/>
    </row>
    <row r="31" ht="15.75" customHeight="1">
      <c r="A31" s="9" t="s">
        <v>23</v>
      </c>
      <c r="B31" s="3" t="s">
        <v>15</v>
      </c>
      <c r="C31" s="2">
        <v>0.4</v>
      </c>
      <c r="D31" s="3">
        <f>F31-E31</f>
        <v>19686</v>
      </c>
      <c r="E31" s="3">
        <v>1460.0</v>
      </c>
      <c r="F31" s="3">
        <v>21146.0</v>
      </c>
      <c r="G31" s="3">
        <v>2340.0</v>
      </c>
      <c r="H31" s="3">
        <v>198.0</v>
      </c>
      <c r="I31" s="3">
        <v>547.0</v>
      </c>
      <c r="J31" s="3">
        <f>K31-I31</f>
        <v>34</v>
      </c>
      <c r="K31" s="3">
        <v>581.0</v>
      </c>
    </row>
    <row r="32" ht="15.75" customHeight="1">
      <c r="A32" s="9" t="s">
        <v>23</v>
      </c>
      <c r="B32" s="3">
        <v>5.0</v>
      </c>
      <c r="C32" s="2">
        <v>0.24</v>
      </c>
    </row>
    <row r="33" ht="15.75" customHeight="1">
      <c r="A33" s="9" t="s">
        <v>23</v>
      </c>
      <c r="B33" s="3">
        <v>6.0</v>
      </c>
      <c r="C33" s="2">
        <v>0.15</v>
      </c>
    </row>
    <row r="34" ht="15.75" customHeight="1">
      <c r="A34" s="10" t="s">
        <v>23</v>
      </c>
      <c r="B34" s="6" t="s">
        <v>16</v>
      </c>
      <c r="C34" s="8">
        <v>0.21</v>
      </c>
      <c r="D34" s="6"/>
      <c r="E34" s="6"/>
      <c r="F34" s="6"/>
      <c r="G34" s="6"/>
      <c r="H34" s="6"/>
      <c r="I34" s="6"/>
      <c r="J34" s="6"/>
      <c r="K34" s="6"/>
    </row>
    <row r="35" ht="15.75" customHeight="1">
      <c r="A35" s="9" t="s">
        <v>24</v>
      </c>
      <c r="B35" s="3" t="s">
        <v>15</v>
      </c>
      <c r="C35" s="2">
        <v>0.41</v>
      </c>
      <c r="D35" s="3">
        <f>F35-E35</f>
        <v>17945</v>
      </c>
      <c r="E35" s="3">
        <v>1741.0</v>
      </c>
      <c r="F35" s="3">
        <v>19686.0</v>
      </c>
      <c r="G35" s="3">
        <v>2140.0</v>
      </c>
      <c r="H35" s="3">
        <v>218.0</v>
      </c>
      <c r="I35" s="3">
        <v>506.0</v>
      </c>
      <c r="J35" s="3">
        <f>K35-I35</f>
        <v>29</v>
      </c>
      <c r="K35" s="3">
        <v>535.0</v>
      </c>
    </row>
    <row r="36" ht="15.75" customHeight="1">
      <c r="A36" s="9" t="s">
        <v>24</v>
      </c>
      <c r="B36" s="3">
        <v>5.0</v>
      </c>
      <c r="C36" s="2">
        <v>0.23</v>
      </c>
    </row>
    <row r="37" ht="15.75" customHeight="1">
      <c r="A37" s="9" t="s">
        <v>24</v>
      </c>
      <c r="B37" s="3">
        <v>6.0</v>
      </c>
      <c r="C37" s="2">
        <v>0.16</v>
      </c>
    </row>
    <row r="38" ht="15.75" customHeight="1">
      <c r="A38" s="10" t="s">
        <v>24</v>
      </c>
      <c r="B38" s="6" t="s">
        <v>16</v>
      </c>
      <c r="C38" s="8">
        <v>0.2</v>
      </c>
      <c r="D38" s="6"/>
      <c r="E38" s="6"/>
      <c r="F38" s="6"/>
      <c r="G38" s="6"/>
      <c r="H38" s="6"/>
      <c r="I38" s="6"/>
      <c r="J38" s="6"/>
      <c r="K38" s="6"/>
    </row>
    <row r="39" ht="15.75" customHeight="1">
      <c r="A39" s="9" t="s">
        <v>25</v>
      </c>
      <c r="B39" s="3" t="s">
        <v>26</v>
      </c>
      <c r="C39" s="2">
        <v>0.29</v>
      </c>
      <c r="D39" s="3">
        <f>F39-E39</f>
        <v>16325</v>
      </c>
      <c r="E39" s="3">
        <v>1620.0</v>
      </c>
      <c r="F39" s="3">
        <v>17945.0</v>
      </c>
      <c r="G39" s="3">
        <v>1920.0</v>
      </c>
      <c r="H39" s="3">
        <v>191.0</v>
      </c>
      <c r="I39" s="3">
        <v>460.0</v>
      </c>
      <c r="J39" s="3">
        <f>K39-I39</f>
        <v>28</v>
      </c>
      <c r="K39" s="3">
        <v>488.0</v>
      </c>
    </row>
    <row r="40" ht="15.75" customHeight="1">
      <c r="A40" s="9" t="s">
        <v>25</v>
      </c>
      <c r="B40" s="3">
        <v>4.0</v>
      </c>
      <c r="C40" s="2">
        <v>0.12</v>
      </c>
    </row>
    <row r="41" ht="15.75" customHeight="1">
      <c r="A41" s="9" t="s">
        <v>25</v>
      </c>
      <c r="B41" s="3">
        <v>5.0</v>
      </c>
      <c r="C41" s="2">
        <v>0.24</v>
      </c>
    </row>
    <row r="42" ht="15.75" customHeight="1">
      <c r="A42" s="9" t="s">
        <v>25</v>
      </c>
      <c r="B42" s="3">
        <v>6.0</v>
      </c>
      <c r="C42" s="2">
        <v>0.16</v>
      </c>
    </row>
    <row r="43" ht="15.75" customHeight="1">
      <c r="A43" s="10" t="s">
        <v>25</v>
      </c>
      <c r="B43" s="6" t="s">
        <v>16</v>
      </c>
      <c r="C43" s="8">
        <v>0.19</v>
      </c>
      <c r="D43" s="6"/>
      <c r="E43" s="6"/>
      <c r="F43" s="6"/>
      <c r="G43" s="6"/>
      <c r="H43" s="6"/>
      <c r="I43" s="6"/>
      <c r="J43" s="6"/>
      <c r="K43" s="6"/>
    </row>
    <row r="44" ht="15.75" customHeight="1">
      <c r="A44" s="3" t="s">
        <v>27</v>
      </c>
      <c r="B44" s="3" t="s">
        <v>26</v>
      </c>
      <c r="C44" s="2">
        <v>0.31</v>
      </c>
      <c r="D44" s="3">
        <f>F44-E44</f>
        <v>14687</v>
      </c>
      <c r="E44" s="3">
        <v>1638.0</v>
      </c>
      <c r="F44" s="3">
        <v>16325.0</v>
      </c>
      <c r="G44" s="3">
        <v>1730.0</v>
      </c>
      <c r="H44" s="3">
        <v>217.0</v>
      </c>
      <c r="I44" s="3">
        <v>405.0</v>
      </c>
      <c r="J44" s="3">
        <f>K44-I44</f>
        <v>26</v>
      </c>
      <c r="K44" s="3">
        <v>431.0</v>
      </c>
    </row>
    <row r="45" ht="15.75" customHeight="1">
      <c r="A45" s="3" t="s">
        <v>27</v>
      </c>
      <c r="B45" s="3">
        <v>4.0</v>
      </c>
      <c r="C45" s="2">
        <v>0.12</v>
      </c>
    </row>
    <row r="46" ht="15.75" customHeight="1">
      <c r="A46" s="3" t="s">
        <v>27</v>
      </c>
      <c r="B46" s="3">
        <v>5.0</v>
      </c>
      <c r="C46" s="2">
        <v>0.23</v>
      </c>
    </row>
    <row r="47" ht="15.75" customHeight="1">
      <c r="A47" s="6" t="s">
        <v>27</v>
      </c>
      <c r="B47" s="6" t="s">
        <v>28</v>
      </c>
      <c r="C47" s="8">
        <v>0.34</v>
      </c>
      <c r="D47" s="6"/>
      <c r="E47" s="6"/>
      <c r="F47" s="6"/>
      <c r="G47" s="6"/>
      <c r="H47" s="6"/>
      <c r="I47" s="6"/>
      <c r="J47" s="6"/>
      <c r="K47" s="6"/>
    </row>
    <row r="48" ht="15.75" customHeight="1">
      <c r="A48" s="9" t="s">
        <v>29</v>
      </c>
      <c r="B48" s="3" t="s">
        <v>26</v>
      </c>
      <c r="C48" s="2">
        <v>0.32</v>
      </c>
      <c r="D48" s="3">
        <f>F48-E48</f>
        <v>13080</v>
      </c>
      <c r="E48" s="3">
        <v>1607.0</v>
      </c>
      <c r="F48" s="3">
        <v>14687.0</v>
      </c>
      <c r="G48" s="3">
        <v>1510.0</v>
      </c>
      <c r="H48" s="3">
        <v>170.0</v>
      </c>
      <c r="I48" s="3">
        <v>357.0</v>
      </c>
      <c r="J48" s="3">
        <f>K48-I48</f>
        <v>23</v>
      </c>
      <c r="K48" s="3">
        <v>380.0</v>
      </c>
    </row>
    <row r="49" ht="15.75" customHeight="1">
      <c r="A49" s="9" t="s">
        <v>29</v>
      </c>
      <c r="B49" s="3">
        <v>4.0</v>
      </c>
      <c r="C49" s="2">
        <v>0.13</v>
      </c>
    </row>
    <row r="50" ht="15.75" customHeight="1">
      <c r="A50" s="9" t="s">
        <v>29</v>
      </c>
      <c r="B50" s="3">
        <v>5.0</v>
      </c>
      <c r="C50" s="2">
        <v>0.23</v>
      </c>
    </row>
    <row r="51" ht="15.75" customHeight="1">
      <c r="A51" s="10" t="s">
        <v>29</v>
      </c>
      <c r="B51" s="6" t="s">
        <v>28</v>
      </c>
      <c r="C51" s="8">
        <v>0.32</v>
      </c>
      <c r="D51" s="6"/>
      <c r="E51" s="6"/>
      <c r="F51" s="6"/>
      <c r="G51" s="6"/>
      <c r="H51" s="6"/>
      <c r="I51" s="6"/>
      <c r="J51" s="6"/>
      <c r="K51" s="6"/>
    </row>
    <row r="52" ht="15.75" customHeight="1">
      <c r="A52" s="9" t="s">
        <v>30</v>
      </c>
      <c r="B52" s="3" t="s">
        <v>26</v>
      </c>
      <c r="C52" s="2">
        <v>0.34</v>
      </c>
      <c r="D52" s="3">
        <f>F52-E52</f>
        <v>11420</v>
      </c>
      <c r="E52" s="3">
        <v>1660.0</v>
      </c>
      <c r="F52" s="3">
        <v>13080.0</v>
      </c>
      <c r="G52" s="3">
        <v>1340.0</v>
      </c>
      <c r="H52" s="3">
        <v>151.0</v>
      </c>
      <c r="I52" s="3">
        <v>316.0</v>
      </c>
      <c r="J52" s="3">
        <f>K52-I52</f>
        <v>22</v>
      </c>
      <c r="K52" s="3">
        <v>338.0</v>
      </c>
    </row>
    <row r="53" ht="15.75" customHeight="1">
      <c r="A53" s="9" t="s">
        <v>30</v>
      </c>
      <c r="B53" s="3">
        <v>4.0</v>
      </c>
      <c r="C53" s="2">
        <v>0.13</v>
      </c>
    </row>
    <row r="54" ht="15.75" customHeight="1">
      <c r="A54" s="9" t="s">
        <v>30</v>
      </c>
      <c r="B54" s="3">
        <v>5.0</v>
      </c>
      <c r="C54" s="2">
        <v>0.24</v>
      </c>
    </row>
    <row r="55" ht="15.75" customHeight="1">
      <c r="A55" s="10" t="s">
        <v>30</v>
      </c>
      <c r="B55" s="6" t="s">
        <v>28</v>
      </c>
      <c r="C55" s="8">
        <v>0.29</v>
      </c>
      <c r="D55" s="6"/>
      <c r="E55" s="6"/>
      <c r="F55" s="6"/>
      <c r="G55" s="6"/>
      <c r="H55" s="6"/>
      <c r="I55" s="6"/>
      <c r="J55" s="6"/>
      <c r="K55" s="6"/>
    </row>
    <row r="56" ht="15.75" customHeight="1">
      <c r="A56" s="9" t="s">
        <v>31</v>
      </c>
      <c r="B56" s="3" t="s">
        <v>26</v>
      </c>
      <c r="C56" s="2">
        <v>0.36</v>
      </c>
      <c r="D56" s="3">
        <f>F56-E56</f>
        <v>9896</v>
      </c>
      <c r="E56" s="3">
        <v>1524.0</v>
      </c>
      <c r="F56" s="3">
        <v>11420.0</v>
      </c>
      <c r="G56" s="3">
        <v>1190.0</v>
      </c>
      <c r="H56" s="3">
        <v>144.0</v>
      </c>
      <c r="I56" s="3">
        <v>281.0</v>
      </c>
      <c r="J56" s="3">
        <f>K56-I56</f>
        <v>22</v>
      </c>
      <c r="K56" s="3">
        <v>303.0</v>
      </c>
    </row>
    <row r="57" ht="15.75" customHeight="1">
      <c r="A57" s="9" t="s">
        <v>31</v>
      </c>
      <c r="B57" s="3">
        <v>4.0</v>
      </c>
      <c r="C57" s="2">
        <v>0.14</v>
      </c>
    </row>
    <row r="58" ht="15.75" customHeight="1">
      <c r="A58" s="9" t="s">
        <v>31</v>
      </c>
      <c r="B58" s="3">
        <v>5.0</v>
      </c>
      <c r="C58" s="2">
        <v>0.23</v>
      </c>
    </row>
    <row r="59" ht="15.75" customHeight="1">
      <c r="A59" s="10" t="s">
        <v>31</v>
      </c>
      <c r="B59" s="6" t="s">
        <v>28</v>
      </c>
      <c r="C59" s="8">
        <v>0.27</v>
      </c>
      <c r="D59" s="6"/>
      <c r="E59" s="6"/>
      <c r="F59" s="6"/>
      <c r="G59" s="6"/>
      <c r="H59" s="6"/>
      <c r="I59" s="6"/>
      <c r="J59" s="6"/>
      <c r="K59" s="6"/>
    </row>
    <row r="60" ht="15.75" customHeight="1">
      <c r="A60" s="3" t="s">
        <v>32</v>
      </c>
      <c r="B60" s="3" t="s">
        <v>26</v>
      </c>
      <c r="C60" s="2">
        <v>0.37</v>
      </c>
      <c r="D60" s="3">
        <f>F60-E60</f>
        <v>8416</v>
      </c>
      <c r="E60" s="3">
        <v>1480.0</v>
      </c>
      <c r="F60" s="3">
        <v>9896.0</v>
      </c>
      <c r="G60" s="3">
        <v>1050.0</v>
      </c>
      <c r="H60" s="3">
        <v>143.0</v>
      </c>
      <c r="I60" s="3">
        <v>245.0</v>
      </c>
      <c r="J60" s="3">
        <f>K60-I60</f>
        <v>20</v>
      </c>
      <c r="K60" s="3">
        <v>265.0</v>
      </c>
    </row>
    <row r="61" ht="15.75" customHeight="1">
      <c r="A61" s="3" t="s">
        <v>32</v>
      </c>
      <c r="B61" s="3">
        <v>4.0</v>
      </c>
      <c r="C61" s="2">
        <v>0.16</v>
      </c>
    </row>
    <row r="62" ht="15.75" customHeight="1">
      <c r="A62" s="3" t="s">
        <v>32</v>
      </c>
      <c r="B62" s="3">
        <v>5.0</v>
      </c>
      <c r="C62" s="2">
        <v>0.23</v>
      </c>
    </row>
    <row r="63" ht="15.75" customHeight="1">
      <c r="A63" s="6" t="s">
        <v>32</v>
      </c>
      <c r="B63" s="6" t="s">
        <v>28</v>
      </c>
      <c r="C63" s="8">
        <v>0.24</v>
      </c>
      <c r="D63" s="6"/>
      <c r="E63" s="6"/>
      <c r="F63" s="6"/>
      <c r="G63" s="6"/>
      <c r="H63" s="6"/>
      <c r="I63" s="6"/>
      <c r="J63" s="6"/>
      <c r="K63" s="6"/>
    </row>
    <row r="64" ht="15.75" customHeight="1">
      <c r="A64" s="9" t="s">
        <v>33</v>
      </c>
      <c r="B64" s="3" t="s">
        <v>26</v>
      </c>
      <c r="C64" s="2">
        <v>0.39</v>
      </c>
      <c r="D64" s="3">
        <f>F64-E64</f>
        <v>7230</v>
      </c>
      <c r="E64" s="3">
        <v>1186.0</v>
      </c>
      <c r="F64" s="3">
        <v>8416.0</v>
      </c>
      <c r="G64" s="3">
        <v>907.0</v>
      </c>
      <c r="H64" s="3">
        <v>117.0</v>
      </c>
      <c r="I64" s="3">
        <v>214.0</v>
      </c>
      <c r="J64" s="3">
        <f>K64-I64</f>
        <v>19</v>
      </c>
      <c r="K64" s="3">
        <v>233.0</v>
      </c>
    </row>
    <row r="65" ht="15.75" customHeight="1">
      <c r="A65" s="9" t="s">
        <v>33</v>
      </c>
      <c r="B65" s="3">
        <v>4.0</v>
      </c>
      <c r="C65" s="2">
        <v>0.17</v>
      </c>
    </row>
    <row r="66" ht="15.75" customHeight="1">
      <c r="A66" s="9" t="s">
        <v>33</v>
      </c>
      <c r="B66" s="3">
        <v>5.0</v>
      </c>
      <c r="C66" s="2">
        <v>0.22</v>
      </c>
    </row>
    <row r="67" ht="15.75" customHeight="1">
      <c r="A67" s="10" t="s">
        <v>33</v>
      </c>
      <c r="B67" s="6" t="s">
        <v>28</v>
      </c>
      <c r="C67" s="8">
        <v>0.22</v>
      </c>
      <c r="D67" s="6"/>
      <c r="E67" s="6"/>
      <c r="F67" s="6"/>
      <c r="G67" s="6"/>
      <c r="H67" s="6"/>
      <c r="I67" s="6"/>
      <c r="J67" s="6"/>
      <c r="K67" s="6"/>
    </row>
    <row r="68" ht="15.75" customHeight="1">
      <c r="A68" s="9" t="s">
        <v>34</v>
      </c>
      <c r="B68" s="3" t="s">
        <v>26</v>
      </c>
      <c r="C68" s="2">
        <v>0.43</v>
      </c>
      <c r="D68" s="3">
        <f>F68-E68</f>
        <v>6261</v>
      </c>
      <c r="E68" s="3">
        <v>969.0</v>
      </c>
      <c r="F68" s="3">
        <v>7230.0</v>
      </c>
      <c r="G68" s="3">
        <v>791.0</v>
      </c>
      <c r="H68" s="3">
        <v>105.0</v>
      </c>
      <c r="I68" s="3">
        <v>184.0</v>
      </c>
      <c r="J68" s="3">
        <f>K68-I68</f>
        <v>15</v>
      </c>
      <c r="K68" s="3">
        <v>199.0</v>
      </c>
    </row>
    <row r="69" ht="15.75" customHeight="1">
      <c r="A69" s="9" t="s">
        <v>34</v>
      </c>
      <c r="B69" s="3">
        <v>4.0</v>
      </c>
      <c r="C69" s="2">
        <v>0.18</v>
      </c>
    </row>
    <row r="70" ht="15.75" customHeight="1">
      <c r="A70" s="10" t="s">
        <v>34</v>
      </c>
      <c r="B70" s="6" t="s">
        <v>35</v>
      </c>
      <c r="C70" s="8">
        <v>0.39</v>
      </c>
      <c r="D70" s="6"/>
      <c r="E70" s="6"/>
      <c r="F70" s="6"/>
      <c r="G70" s="6"/>
      <c r="H70" s="6"/>
      <c r="I70" s="6"/>
      <c r="J70" s="6"/>
      <c r="K70" s="6"/>
    </row>
    <row r="71" ht="15.75" customHeight="1">
      <c r="A71" s="9" t="s">
        <v>36</v>
      </c>
      <c r="B71" s="3" t="s">
        <v>26</v>
      </c>
      <c r="C71" s="2">
        <v>0.45</v>
      </c>
      <c r="D71" s="3">
        <f>F71-E71</f>
        <v>5431</v>
      </c>
      <c r="E71" s="3">
        <v>830.0</v>
      </c>
      <c r="F71" s="3">
        <v>6261.0</v>
      </c>
      <c r="G71" s="3">
        <v>686.0</v>
      </c>
      <c r="H71" s="3">
        <v>86.0</v>
      </c>
      <c r="I71" s="3">
        <v>162.0</v>
      </c>
      <c r="J71" s="3">
        <f>K71-I71</f>
        <v>16</v>
      </c>
      <c r="K71" s="3">
        <v>178.0</v>
      </c>
    </row>
    <row r="72" ht="15.75" customHeight="1">
      <c r="A72" s="9" t="s">
        <v>36</v>
      </c>
      <c r="B72" s="3">
        <v>4.0</v>
      </c>
      <c r="C72" s="2">
        <v>0.2</v>
      </c>
    </row>
    <row r="73" ht="15.75" customHeight="1">
      <c r="A73" s="10" t="s">
        <v>36</v>
      </c>
      <c r="B73" s="6" t="s">
        <v>35</v>
      </c>
      <c r="C73" s="8">
        <v>0.35</v>
      </c>
      <c r="D73" s="6"/>
      <c r="E73" s="6"/>
      <c r="F73" s="6"/>
      <c r="G73" s="6"/>
      <c r="H73" s="6"/>
      <c r="I73" s="6"/>
      <c r="J73" s="6"/>
      <c r="K73" s="6"/>
    </row>
    <row r="74" ht="15.75" customHeight="1">
      <c r="A74" s="3" t="s">
        <v>37</v>
      </c>
      <c r="B74" s="3" t="s">
        <v>15</v>
      </c>
      <c r="C74" s="2">
        <v>0.67</v>
      </c>
      <c r="D74" s="3">
        <f>F74-E74</f>
        <v>4561</v>
      </c>
      <c r="E74" s="3">
        <v>870.0</v>
      </c>
      <c r="F74" s="3">
        <v>5431.0</v>
      </c>
      <c r="G74" s="3">
        <v>601.0</v>
      </c>
      <c r="H74" s="3">
        <v>99.0</v>
      </c>
      <c r="I74" s="3">
        <v>139.0</v>
      </c>
      <c r="J74" s="3">
        <f>K74-I74</f>
        <v>13</v>
      </c>
      <c r="K74" s="3">
        <v>152.0</v>
      </c>
    </row>
    <row r="75" ht="15.75" customHeight="1">
      <c r="A75" s="6" t="s">
        <v>37</v>
      </c>
      <c r="B75" s="6" t="s">
        <v>35</v>
      </c>
      <c r="C75" s="8">
        <v>0.33</v>
      </c>
      <c r="D75" s="6"/>
      <c r="E75" s="6"/>
      <c r="F75" s="6"/>
      <c r="G75" s="6"/>
      <c r="H75" s="6"/>
      <c r="I75" s="6"/>
      <c r="J75" s="6"/>
      <c r="K75" s="6"/>
    </row>
    <row r="76" ht="15.75" customHeight="1">
      <c r="A76" s="9" t="s">
        <v>38</v>
      </c>
      <c r="B76" s="3" t="s">
        <v>26</v>
      </c>
      <c r="C76" s="2">
        <v>0.5</v>
      </c>
      <c r="D76" s="3">
        <f>F76-E76</f>
        <v>3789</v>
      </c>
      <c r="E76" s="3">
        <v>772.0</v>
      </c>
      <c r="F76" s="3">
        <v>4561.0</v>
      </c>
      <c r="G76" s="3">
        <v>502.0</v>
      </c>
      <c r="H76" s="3">
        <v>78.0</v>
      </c>
      <c r="I76" s="3">
        <v>114.0</v>
      </c>
      <c r="J76" s="3">
        <f>K76-I76</f>
        <v>11</v>
      </c>
      <c r="K76" s="3">
        <v>125.0</v>
      </c>
    </row>
    <row r="77" ht="15.75" customHeight="1">
      <c r="A77" s="9" t="s">
        <v>38</v>
      </c>
      <c r="B77" s="3">
        <v>4.0</v>
      </c>
      <c r="C77" s="2">
        <v>0.2</v>
      </c>
    </row>
    <row r="78" ht="15.75" customHeight="1">
      <c r="A78" s="10" t="s">
        <v>38</v>
      </c>
      <c r="B78" s="6" t="s">
        <v>35</v>
      </c>
      <c r="C78" s="8">
        <v>0.3</v>
      </c>
      <c r="D78" s="6"/>
      <c r="E78" s="6"/>
      <c r="F78" s="6"/>
      <c r="G78" s="6"/>
      <c r="H78" s="6"/>
      <c r="I78" s="6"/>
      <c r="J78" s="6"/>
      <c r="K78" s="6"/>
    </row>
    <row r="79" ht="15.75" customHeight="1">
      <c r="A79" s="9" t="s">
        <v>39</v>
      </c>
      <c r="B79" s="3" t="s">
        <v>26</v>
      </c>
      <c r="C79" s="2">
        <v>0.5</v>
      </c>
      <c r="D79" s="3">
        <f>F79-E79</f>
        <v>3059</v>
      </c>
      <c r="E79" s="3">
        <v>730.0</v>
      </c>
      <c r="F79" s="3">
        <v>3789.0</v>
      </c>
      <c r="G79" s="3">
        <v>424.0</v>
      </c>
      <c r="H79" s="3">
        <v>59.0</v>
      </c>
      <c r="I79" s="3">
        <v>98.0</v>
      </c>
      <c r="J79" s="3">
        <f t="shared" ref="J79:J83" si="1">K79-I79</f>
        <v>10</v>
      </c>
      <c r="K79" s="3">
        <v>108.0</v>
      </c>
    </row>
    <row r="80" ht="15.75" customHeight="1">
      <c r="A80" s="10" t="s">
        <v>39</v>
      </c>
      <c r="B80" s="6" t="s">
        <v>40</v>
      </c>
      <c r="C80" s="8">
        <v>0.5</v>
      </c>
      <c r="D80" s="6"/>
      <c r="E80" s="6"/>
      <c r="F80" s="6"/>
      <c r="G80" s="6"/>
      <c r="H80" s="6"/>
      <c r="I80" s="6"/>
      <c r="J80" s="6">
        <f t="shared" si="1"/>
        <v>0</v>
      </c>
      <c r="K80" s="6"/>
    </row>
    <row r="81" ht="15.75" customHeight="1">
      <c r="A81" s="9" t="s">
        <v>41</v>
      </c>
      <c r="C81" s="2"/>
      <c r="D81" s="3">
        <f>F81-E81</f>
        <v>2516</v>
      </c>
      <c r="E81" s="3">
        <v>543.0</v>
      </c>
      <c r="F81" s="3">
        <v>3059.0</v>
      </c>
      <c r="G81" s="3">
        <v>365.0</v>
      </c>
      <c r="I81" s="3">
        <v>86.0</v>
      </c>
      <c r="J81" s="3">
        <f t="shared" si="1"/>
        <v>10</v>
      </c>
      <c r="K81" s="3">
        <v>96.0</v>
      </c>
    </row>
    <row r="82" ht="15.75" customHeight="1">
      <c r="A82" s="10" t="s">
        <v>41</v>
      </c>
      <c r="B82" s="6"/>
      <c r="C82" s="8"/>
      <c r="D82" s="6"/>
      <c r="E82" s="6"/>
      <c r="F82" s="6"/>
      <c r="G82" s="6"/>
      <c r="H82" s="6"/>
      <c r="I82" s="6"/>
      <c r="J82" s="6">
        <f t="shared" si="1"/>
        <v>0</v>
      </c>
      <c r="K82" s="6"/>
    </row>
    <row r="83" ht="15.75" customHeight="1">
      <c r="A83" s="3" t="s">
        <v>42</v>
      </c>
      <c r="C83" s="2"/>
      <c r="D83" s="3">
        <f>F83-E83</f>
        <v>0</v>
      </c>
      <c r="I83" s="3">
        <v>73.0</v>
      </c>
      <c r="J83" s="3">
        <f t="shared" si="1"/>
        <v>7</v>
      </c>
      <c r="K83" s="3">
        <v>80.0</v>
      </c>
    </row>
    <row r="84" ht="15.75" customHeight="1">
      <c r="A84" s="6" t="s">
        <v>42</v>
      </c>
      <c r="B84" s="6"/>
      <c r="C84" s="8"/>
      <c r="D84" s="6"/>
      <c r="E84" s="6"/>
      <c r="F84" s="6"/>
      <c r="G84" s="6"/>
      <c r="H84" s="6"/>
      <c r="I84" s="6"/>
      <c r="J84" s="6"/>
      <c r="K84" s="6"/>
    </row>
    <row r="85" ht="15.75" customHeight="1">
      <c r="A85" s="9" t="s">
        <v>43</v>
      </c>
      <c r="C85" s="2"/>
      <c r="D85" s="3">
        <f>F85-E85</f>
        <v>0</v>
      </c>
      <c r="I85" s="3">
        <v>58.0</v>
      </c>
      <c r="J85" s="3">
        <f t="shared" ref="J85:J90" si="2">K85-I85</f>
        <v>8</v>
      </c>
      <c r="K85" s="3">
        <v>66.0</v>
      </c>
    </row>
    <row r="86" ht="15.75" customHeight="1">
      <c r="A86" s="10" t="s">
        <v>43</v>
      </c>
      <c r="B86" s="6"/>
      <c r="C86" s="8"/>
      <c r="D86" s="6"/>
      <c r="E86" s="6"/>
      <c r="F86" s="6"/>
      <c r="G86" s="6"/>
      <c r="H86" s="6"/>
      <c r="I86" s="6"/>
      <c r="J86" s="6">
        <f t="shared" si="2"/>
        <v>0</v>
      </c>
      <c r="K86" s="6"/>
    </row>
    <row r="87" ht="15.75" customHeight="1">
      <c r="A87" s="9" t="s">
        <v>44</v>
      </c>
      <c r="C87" s="2"/>
      <c r="D87" s="3">
        <f>F87-E87</f>
        <v>0</v>
      </c>
      <c r="I87" s="3">
        <v>49.0</v>
      </c>
      <c r="J87" s="3">
        <f t="shared" si="2"/>
        <v>7</v>
      </c>
      <c r="K87" s="3">
        <v>56.0</v>
      </c>
    </row>
    <row r="88" ht="15.75" customHeight="1">
      <c r="A88" s="10" t="s">
        <v>44</v>
      </c>
      <c r="B88" s="6"/>
      <c r="C88" s="8"/>
      <c r="D88" s="6"/>
      <c r="E88" s="6"/>
      <c r="F88" s="6"/>
      <c r="G88" s="6"/>
      <c r="H88" s="6"/>
      <c r="I88" s="6"/>
      <c r="J88" s="6">
        <f t="shared" si="2"/>
        <v>0</v>
      </c>
      <c r="K88" s="6"/>
    </row>
    <row r="89" ht="15.75" customHeight="1">
      <c r="A89" s="9" t="s">
        <v>45</v>
      </c>
      <c r="C89" s="2"/>
      <c r="D89" s="3">
        <f>F89-E89</f>
        <v>0</v>
      </c>
      <c r="I89" s="3">
        <v>40.0</v>
      </c>
      <c r="J89" s="3">
        <f t="shared" si="2"/>
        <v>7</v>
      </c>
      <c r="K89" s="3">
        <v>47.0</v>
      </c>
    </row>
    <row r="90" ht="15.75" customHeight="1">
      <c r="A90" s="10" t="s">
        <v>45</v>
      </c>
      <c r="B90" s="6"/>
      <c r="C90" s="8"/>
      <c r="D90" s="6"/>
      <c r="E90" s="6"/>
      <c r="F90" s="6"/>
      <c r="G90" s="6"/>
      <c r="H90" s="6"/>
      <c r="I90" s="6"/>
      <c r="J90" s="6">
        <f t="shared" si="2"/>
        <v>0</v>
      </c>
      <c r="K90" s="6"/>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28.13"/>
  </cols>
  <sheetData>
    <row r="1" ht="15.75" customHeight="1">
      <c r="A1" s="1" t="s">
        <v>46</v>
      </c>
      <c r="B1" s="13"/>
      <c r="C1" s="14"/>
      <c r="D1" s="14"/>
      <c r="E1" s="14"/>
      <c r="F1" s="14"/>
      <c r="G1" s="14"/>
      <c r="Z1" s="15"/>
      <c r="AC1" s="1" t="s">
        <v>47</v>
      </c>
      <c r="AE1" s="15"/>
      <c r="AJ1" s="15"/>
      <c r="AO1" s="15"/>
      <c r="AT1" s="15"/>
      <c r="AY1" s="15"/>
    </row>
    <row r="2" ht="15.75" customHeight="1">
      <c r="A2" s="16"/>
      <c r="B2" s="17" t="s">
        <v>48</v>
      </c>
      <c r="C2" s="17" t="s">
        <v>49</v>
      </c>
      <c r="D2" s="17" t="s">
        <v>50</v>
      </c>
      <c r="E2" s="17" t="s">
        <v>51</v>
      </c>
      <c r="F2" s="17" t="s">
        <v>52</v>
      </c>
      <c r="G2" s="17" t="s">
        <v>53</v>
      </c>
      <c r="H2" s="17" t="s">
        <v>54</v>
      </c>
      <c r="I2" s="17" t="s">
        <v>55</v>
      </c>
      <c r="J2" s="16" t="s">
        <v>56</v>
      </c>
      <c r="K2" s="18" t="s">
        <v>57</v>
      </c>
      <c r="L2" s="18" t="s">
        <v>58</v>
      </c>
      <c r="M2" s="18" t="s">
        <v>59</v>
      </c>
      <c r="N2" s="16" t="s">
        <v>60</v>
      </c>
      <c r="O2" s="16" t="s">
        <v>61</v>
      </c>
      <c r="P2" s="16" t="s">
        <v>62</v>
      </c>
      <c r="Q2" s="16" t="s">
        <v>63</v>
      </c>
      <c r="R2" s="16" t="s">
        <v>64</v>
      </c>
      <c r="S2" s="16" t="s">
        <v>65</v>
      </c>
      <c r="T2" s="16" t="s">
        <v>66</v>
      </c>
      <c r="U2" s="16" t="s">
        <v>67</v>
      </c>
      <c r="V2" s="16" t="s">
        <v>68</v>
      </c>
      <c r="W2" s="16" t="s">
        <v>69</v>
      </c>
      <c r="X2" s="16" t="s">
        <v>70</v>
      </c>
      <c r="Y2" s="16" t="s">
        <v>71</v>
      </c>
      <c r="Z2" s="19" t="s">
        <v>72</v>
      </c>
      <c r="AA2" s="16" t="s">
        <v>73</v>
      </c>
      <c r="AB2" s="16" t="s">
        <v>74</v>
      </c>
      <c r="AC2" s="16" t="s">
        <v>75</v>
      </c>
      <c r="AD2" s="16" t="s">
        <v>76</v>
      </c>
      <c r="AE2" s="19" t="s">
        <v>77</v>
      </c>
      <c r="AF2" s="16" t="s">
        <v>78</v>
      </c>
      <c r="AG2" s="16" t="s">
        <v>79</v>
      </c>
      <c r="AH2" s="18" t="s">
        <v>80</v>
      </c>
      <c r="AI2" s="18" t="s">
        <v>81</v>
      </c>
      <c r="AJ2" s="20" t="s">
        <v>82</v>
      </c>
      <c r="AK2" s="16" t="s">
        <v>83</v>
      </c>
      <c r="AL2" s="18" t="s">
        <v>84</v>
      </c>
      <c r="AM2" s="18" t="s">
        <v>85</v>
      </c>
      <c r="AN2" s="18" t="s">
        <v>86</v>
      </c>
      <c r="AO2" s="20" t="s">
        <v>87</v>
      </c>
      <c r="AP2" s="18" t="s">
        <v>88</v>
      </c>
      <c r="AQ2" s="18" t="s">
        <v>89</v>
      </c>
      <c r="AR2" s="18" t="s">
        <v>90</v>
      </c>
      <c r="AS2" s="18" t="s">
        <v>91</v>
      </c>
      <c r="AT2" s="20" t="s">
        <v>92</v>
      </c>
      <c r="AU2" s="16" t="s">
        <v>93</v>
      </c>
      <c r="AV2" s="16" t="s">
        <v>94</v>
      </c>
      <c r="AW2" s="18" t="s">
        <v>95</v>
      </c>
      <c r="AX2" s="18" t="s">
        <v>96</v>
      </c>
      <c r="AY2" s="20" t="s">
        <v>97</v>
      </c>
      <c r="AZ2" s="16"/>
      <c r="BA2" s="16"/>
      <c r="BB2" s="16"/>
      <c r="BC2" s="16"/>
      <c r="BD2" s="16"/>
      <c r="BE2" s="16"/>
      <c r="BF2" s="16"/>
      <c r="BG2" s="16"/>
      <c r="BH2" s="16"/>
      <c r="BI2" s="16"/>
      <c r="BJ2" s="16"/>
      <c r="BK2" s="16"/>
      <c r="BL2" s="16"/>
      <c r="BM2" s="16"/>
      <c r="BN2" s="16"/>
      <c r="BO2" s="16"/>
      <c r="BP2" s="16"/>
      <c r="BQ2" s="16"/>
      <c r="BR2" s="16"/>
      <c r="BS2" s="16"/>
    </row>
    <row r="3" ht="15.75" customHeight="1">
      <c r="A3" s="1" t="s">
        <v>98</v>
      </c>
      <c r="B3" s="13"/>
      <c r="C3" s="13"/>
      <c r="D3" s="21"/>
      <c r="E3" s="21"/>
      <c r="F3" s="21"/>
      <c r="G3" s="21"/>
      <c r="Z3" s="15"/>
      <c r="AE3" s="15"/>
      <c r="AJ3" s="15"/>
      <c r="AO3" s="15"/>
      <c r="AT3" s="15"/>
      <c r="AY3" s="15"/>
    </row>
    <row r="4" ht="15.75" customHeight="1">
      <c r="A4" s="14" t="s">
        <v>99</v>
      </c>
      <c r="B4" s="22">
        <v>39758.0</v>
      </c>
      <c r="C4" s="22">
        <v>49161.0</v>
      </c>
      <c r="D4" s="23">
        <v>57651.0</v>
      </c>
      <c r="E4" s="23">
        <v>72831.0</v>
      </c>
      <c r="F4" s="23">
        <v>85990.0</v>
      </c>
      <c r="G4" s="23">
        <v>97575.0</v>
      </c>
      <c r="H4" s="22">
        <v>114221.0</v>
      </c>
      <c r="I4" s="22">
        <v>138537.0</v>
      </c>
      <c r="J4" s="22">
        <v>162222.0</v>
      </c>
      <c r="K4" s="22">
        <v>184256.0</v>
      </c>
      <c r="L4" s="22">
        <v>213530.0</v>
      </c>
      <c r="M4" s="22">
        <v>244662.0</v>
      </c>
      <c r="N4" s="22">
        <v>281228.0</v>
      </c>
      <c r="O4" s="22">
        <v>315836.0</v>
      </c>
      <c r="P4" s="22">
        <v>357030.0</v>
      </c>
      <c r="Q4" s="22">
        <v>405443.0</v>
      </c>
      <c r="R4" s="22">
        <v>459822.0</v>
      </c>
      <c r="S4" s="22">
        <v>506199.0</v>
      </c>
      <c r="T4" s="22">
        <v>547376.0</v>
      </c>
      <c r="U4" s="22">
        <v>598263.0</v>
      </c>
      <c r="V4" s="22">
        <v>651175.0</v>
      </c>
      <c r="W4" s="22">
        <v>689972.0</v>
      </c>
      <c r="X4" s="22">
        <v>733463.0</v>
      </c>
      <c r="Y4" s="22">
        <v>795947.0</v>
      </c>
      <c r="Z4" s="24">
        <f>sum(V4:Y4)</f>
        <v>2870557</v>
      </c>
      <c r="AA4" s="22">
        <v>872172.0</v>
      </c>
      <c r="AB4" s="22">
        <v>918257.0</v>
      </c>
      <c r="AC4" s="25">
        <f t="shared" ref="AC4:AD4" si="1">AC23*AC29</f>
        <v>954069.7805</v>
      </c>
      <c r="AD4" s="25">
        <f t="shared" si="1"/>
        <v>988135.8413</v>
      </c>
      <c r="AE4" s="26">
        <f>sum(AA4:AD4)</f>
        <v>3732634.622</v>
      </c>
      <c r="AF4" s="25">
        <f t="shared" ref="AF4:AI4" si="2">AF23*AF29</f>
        <v>1063236.989</v>
      </c>
      <c r="AG4" s="25">
        <f t="shared" si="2"/>
        <v>1141379.618</v>
      </c>
      <c r="AH4" s="25">
        <f t="shared" si="2"/>
        <v>1222666.72</v>
      </c>
      <c r="AI4" s="25">
        <f t="shared" si="2"/>
        <v>1307204.49</v>
      </c>
      <c r="AJ4" s="26">
        <f>sum(AF4:AI4)</f>
        <v>4734487.817</v>
      </c>
      <c r="AK4" s="25">
        <f t="shared" ref="AK4:AN4" si="3">AK23*AK29</f>
        <v>1395102.418</v>
      </c>
      <c r="AL4" s="25">
        <f t="shared" si="3"/>
        <v>1486473.385</v>
      </c>
      <c r="AM4" s="25">
        <f t="shared" si="3"/>
        <v>1581433.767</v>
      </c>
      <c r="AN4" s="25">
        <f t="shared" si="3"/>
        <v>1680101.649</v>
      </c>
      <c r="AO4" s="26">
        <f>sum(AK4:AN4)</f>
        <v>6143111.219</v>
      </c>
      <c r="AP4" s="25">
        <f t="shared" ref="AP4:AS4" si="4">AP23*AP29</f>
        <v>1782598.649</v>
      </c>
      <c r="AQ4" s="25">
        <f t="shared" si="4"/>
        <v>1889050.019</v>
      </c>
      <c r="AR4" s="25">
        <f t="shared" si="4"/>
        <v>1999584.749</v>
      </c>
      <c r="AS4" s="25">
        <f t="shared" si="4"/>
        <v>2114335.667</v>
      </c>
      <c r="AT4" s="26">
        <f>sum(AP4:AS4)</f>
        <v>7785569.084</v>
      </c>
      <c r="AU4" s="25">
        <f t="shared" ref="AU4:AX4" si="5">AU23*AU29</f>
        <v>2222518.089</v>
      </c>
      <c r="AV4" s="25">
        <f t="shared" si="5"/>
        <v>2334041.901</v>
      </c>
      <c r="AW4" s="25">
        <f t="shared" si="5"/>
        <v>2448992.975</v>
      </c>
      <c r="AX4" s="25">
        <f t="shared" si="5"/>
        <v>2567459.18</v>
      </c>
      <c r="AY4" s="26">
        <f>sum(AU4:AX4)</f>
        <v>9573012.145</v>
      </c>
      <c r="AZ4" s="22"/>
      <c r="BA4" s="22"/>
      <c r="BB4" s="22"/>
      <c r="BC4" s="22"/>
      <c r="BD4" s="22"/>
      <c r="BE4" s="22"/>
      <c r="BF4" s="22"/>
      <c r="BG4" s="22"/>
      <c r="BH4" s="22"/>
      <c r="BI4" s="22"/>
      <c r="BJ4" s="22"/>
      <c r="BK4" s="22"/>
      <c r="BL4" s="22"/>
      <c r="BM4" s="22"/>
      <c r="BN4" s="22"/>
      <c r="BO4" s="22"/>
      <c r="BP4" s="22"/>
      <c r="BQ4" s="22"/>
      <c r="BR4" s="22"/>
      <c r="BS4" s="22"/>
    </row>
    <row r="5" ht="15.75" customHeight="1">
      <c r="A5" s="27" t="s">
        <v>100</v>
      </c>
      <c r="B5" s="28"/>
      <c r="C5" s="29">
        <f t="shared" ref="C5:Y5" si="6">C4/B4-1</f>
        <v>0.2365058605</v>
      </c>
      <c r="D5" s="29">
        <f t="shared" si="6"/>
        <v>0.1726978703</v>
      </c>
      <c r="E5" s="29">
        <f t="shared" si="6"/>
        <v>0.2633085289</v>
      </c>
      <c r="F5" s="29">
        <f t="shared" si="6"/>
        <v>0.1806785572</v>
      </c>
      <c r="G5" s="29">
        <f t="shared" si="6"/>
        <v>0.134724968</v>
      </c>
      <c r="H5" s="29">
        <f t="shared" si="6"/>
        <v>0.1705969767</v>
      </c>
      <c r="I5" s="29">
        <f t="shared" si="6"/>
        <v>0.2128855464</v>
      </c>
      <c r="J5" s="29">
        <f t="shared" si="6"/>
        <v>0.1709651573</v>
      </c>
      <c r="K5" s="29">
        <f t="shared" si="6"/>
        <v>0.1358262135</v>
      </c>
      <c r="L5" s="29">
        <f t="shared" si="6"/>
        <v>0.1588767801</v>
      </c>
      <c r="M5" s="29">
        <f t="shared" si="6"/>
        <v>0.1457968435</v>
      </c>
      <c r="N5" s="29">
        <f t="shared" si="6"/>
        <v>0.1494551667</v>
      </c>
      <c r="O5" s="29">
        <f t="shared" si="6"/>
        <v>0.1230602927</v>
      </c>
      <c r="P5" s="29">
        <f t="shared" si="6"/>
        <v>0.1304284502</v>
      </c>
      <c r="Q5" s="29">
        <f t="shared" si="6"/>
        <v>0.1355992494</v>
      </c>
      <c r="R5" s="29">
        <f t="shared" si="6"/>
        <v>0.134122429</v>
      </c>
      <c r="S5" s="29">
        <f t="shared" si="6"/>
        <v>0.1008585931</v>
      </c>
      <c r="T5" s="29">
        <f t="shared" si="6"/>
        <v>0.08134547875</v>
      </c>
      <c r="U5" s="29">
        <f t="shared" si="6"/>
        <v>0.0929653474</v>
      </c>
      <c r="V5" s="29">
        <f t="shared" si="6"/>
        <v>0.08844270831</v>
      </c>
      <c r="W5" s="29">
        <f t="shared" si="6"/>
        <v>0.05957999002</v>
      </c>
      <c r="X5" s="29">
        <f t="shared" si="6"/>
        <v>0.06303299264</v>
      </c>
      <c r="Y5" s="29">
        <f t="shared" si="6"/>
        <v>0.08519039134</v>
      </c>
      <c r="Z5" s="30"/>
      <c r="AA5" s="29">
        <f>AA4/Y4-1</f>
        <v>0.09576642666</v>
      </c>
      <c r="AB5" s="29">
        <f t="shared" ref="AB5:AD5" si="7">AB4/AA4-1</f>
        <v>0.0528393482</v>
      </c>
      <c r="AC5" s="29">
        <f t="shared" si="7"/>
        <v>0.0390008249</v>
      </c>
      <c r="AD5" s="29">
        <f t="shared" si="7"/>
        <v>0.03570604741</v>
      </c>
      <c r="AE5" s="30"/>
      <c r="AF5" s="29">
        <f>AF4/AD4-1</f>
        <v>0.07600285782</v>
      </c>
      <c r="AG5" s="29">
        <f t="shared" ref="AG5:AI5" si="8">AG4/AF4-1</f>
        <v>0.07349502454</v>
      </c>
      <c r="AH5" s="29">
        <f t="shared" si="8"/>
        <v>0.07121828805</v>
      </c>
      <c r="AI5" s="29">
        <f t="shared" si="8"/>
        <v>0.06914212088</v>
      </c>
      <c r="AJ5" s="30">
        <f>AJ4/AE4-1</f>
        <v>0.2684037676</v>
      </c>
      <c r="AK5" s="29">
        <f>AK4/AI4-1</f>
        <v>0.06724114561</v>
      </c>
      <c r="AL5" s="29">
        <f t="shared" ref="AL5:AN5" si="9">AL4/AK4-1</f>
        <v>0.0654940928</v>
      </c>
      <c r="AM5" s="29">
        <f t="shared" si="9"/>
        <v>0.06388300208</v>
      </c>
      <c r="AN5" s="29">
        <f t="shared" si="9"/>
        <v>0.06239140957</v>
      </c>
      <c r="AO5" s="30">
        <f>AO4/AJ4-1</f>
        <v>0.2975239258</v>
      </c>
      <c r="AP5" s="29">
        <f>AP4/AN4-1</f>
        <v>0.06100642777</v>
      </c>
      <c r="AQ5" s="29">
        <f t="shared" ref="AQ5:AS5" si="10">AQ4/AP4-1</f>
        <v>0.05971695891</v>
      </c>
      <c r="AR5" s="29">
        <f t="shared" si="10"/>
        <v>0.05851339462</v>
      </c>
      <c r="AS5" s="29">
        <f t="shared" si="10"/>
        <v>0.05738737421</v>
      </c>
      <c r="AT5" s="30">
        <f>AT4/AO4-1</f>
        <v>0.2673658031</v>
      </c>
      <c r="AU5" s="29">
        <f>AU4/AS4-1</f>
        <v>0.05116615286</v>
      </c>
      <c r="AV5" s="29">
        <f t="shared" ref="AV5:AX5" si="11">AV4/AU4-1</f>
        <v>0.05017903462</v>
      </c>
      <c r="AW5" s="29">
        <f t="shared" si="11"/>
        <v>0.04924979023</v>
      </c>
      <c r="AX5" s="29">
        <f t="shared" si="11"/>
        <v>0.04837343596</v>
      </c>
      <c r="AY5" s="30">
        <f>AY4/AT4-1</f>
        <v>0.2295841243</v>
      </c>
      <c r="AZ5" s="28"/>
      <c r="BA5" s="28"/>
      <c r="BB5" s="28"/>
      <c r="BC5" s="28"/>
      <c r="BD5" s="28"/>
      <c r="BE5" s="28"/>
      <c r="BF5" s="28"/>
      <c r="BG5" s="28"/>
      <c r="BH5" s="28"/>
      <c r="BI5" s="28"/>
      <c r="BJ5" s="28"/>
      <c r="BK5" s="28"/>
      <c r="BL5" s="28"/>
      <c r="BM5" s="28"/>
      <c r="BN5" s="28"/>
      <c r="BO5" s="28"/>
      <c r="BP5" s="28"/>
      <c r="BQ5" s="28"/>
      <c r="BR5" s="28"/>
      <c r="BS5" s="28"/>
    </row>
    <row r="6" ht="15.75" customHeight="1">
      <c r="A6" s="14"/>
      <c r="B6" s="31" t="s">
        <v>101</v>
      </c>
      <c r="C6" s="31">
        <v>1.0</v>
      </c>
      <c r="D6" s="32"/>
      <c r="E6" s="32"/>
      <c r="F6" s="32"/>
      <c r="G6" s="32"/>
      <c r="H6" s="32"/>
      <c r="I6" s="32"/>
      <c r="J6" s="32"/>
      <c r="K6" s="32"/>
      <c r="L6" s="32"/>
      <c r="M6" s="32"/>
      <c r="N6" s="32"/>
      <c r="O6" s="32"/>
      <c r="P6" s="32"/>
      <c r="Q6" s="32"/>
      <c r="R6" s="32"/>
      <c r="S6" s="32"/>
      <c r="T6" s="32"/>
      <c r="U6" s="32"/>
      <c r="V6" s="32"/>
      <c r="W6" s="32"/>
      <c r="X6" s="32"/>
      <c r="Y6" s="32"/>
      <c r="Z6" s="30"/>
      <c r="AA6" s="32"/>
      <c r="AB6" s="32"/>
      <c r="AC6" s="22"/>
      <c r="AD6" s="22"/>
      <c r="AE6" s="24"/>
      <c r="AF6" s="22"/>
      <c r="AG6" s="22"/>
      <c r="AH6" s="22"/>
      <c r="AI6" s="22"/>
      <c r="AJ6" s="24"/>
      <c r="AK6" s="22"/>
      <c r="AL6" s="22"/>
      <c r="AM6" s="22"/>
      <c r="AN6" s="22"/>
      <c r="AO6" s="24"/>
      <c r="AP6" s="22"/>
      <c r="AQ6" s="22"/>
      <c r="AR6" s="22"/>
      <c r="AS6" s="22"/>
      <c r="AT6" s="24"/>
      <c r="AU6" s="22"/>
      <c r="AV6" s="22"/>
      <c r="AW6" s="22"/>
      <c r="AX6" s="22"/>
      <c r="AY6" s="24"/>
      <c r="AZ6" s="22"/>
      <c r="BA6" s="22"/>
      <c r="BB6" s="22"/>
      <c r="BC6" s="22"/>
      <c r="BD6" s="22"/>
      <c r="BE6" s="22"/>
      <c r="BF6" s="22"/>
      <c r="BG6" s="22"/>
      <c r="BH6" s="22"/>
      <c r="BI6" s="22"/>
      <c r="BJ6" s="22"/>
      <c r="BK6" s="22"/>
      <c r="BL6" s="22"/>
      <c r="BM6" s="22"/>
      <c r="BN6" s="22"/>
      <c r="BO6" s="22"/>
      <c r="BP6" s="22"/>
      <c r="BQ6" s="22"/>
      <c r="BR6" s="22"/>
      <c r="BS6" s="22"/>
    </row>
    <row r="7" ht="15.75" customHeight="1">
      <c r="A7" s="14" t="s">
        <v>102</v>
      </c>
      <c r="B7" s="22">
        <v>7531.0</v>
      </c>
      <c r="C7" s="22">
        <f t="shared" ref="C7:K7" si="12">C9-C4</f>
        <v>6540</v>
      </c>
      <c r="D7" s="22">
        <f t="shared" si="12"/>
        <v>8728</v>
      </c>
      <c r="E7" s="22">
        <f t="shared" si="12"/>
        <v>7624</v>
      </c>
      <c r="F7" s="22">
        <f t="shared" si="12"/>
        <v>10087</v>
      </c>
      <c r="G7" s="22">
        <f t="shared" si="12"/>
        <v>10533</v>
      </c>
      <c r="H7" s="22">
        <f t="shared" si="12"/>
        <v>10898</v>
      </c>
      <c r="I7" s="22">
        <f t="shared" si="12"/>
        <v>13572</v>
      </c>
      <c r="J7" s="22">
        <f t="shared" si="12"/>
        <v>15856</v>
      </c>
      <c r="K7" s="22">
        <f t="shared" si="12"/>
        <v>14715</v>
      </c>
      <c r="L7" s="22">
        <v>18930.0</v>
      </c>
      <c r="M7" s="22">
        <f t="shared" ref="M7:Y7" si="13">M9-M4</f>
        <v>20267</v>
      </c>
      <c r="N7" s="22">
        <f t="shared" si="13"/>
        <v>21615</v>
      </c>
      <c r="O7" s="22">
        <f t="shared" si="13"/>
        <v>21854</v>
      </c>
      <c r="P7" s="22">
        <f t="shared" si="13"/>
        <v>23021</v>
      </c>
      <c r="Q7" s="22">
        <f t="shared" si="13"/>
        <v>25567</v>
      </c>
      <c r="R7" s="22">
        <f t="shared" si="13"/>
        <v>28012</v>
      </c>
      <c r="S7" s="22">
        <f t="shared" si="13"/>
        <v>28954</v>
      </c>
      <c r="T7" s="22">
        <f t="shared" si="13"/>
        <v>33506</v>
      </c>
      <c r="U7" s="22">
        <f t="shared" si="13"/>
        <v>39104</v>
      </c>
      <c r="V7" s="22">
        <f t="shared" si="13"/>
        <v>41405</v>
      </c>
      <c r="W7" s="22">
        <f t="shared" si="13"/>
        <v>41654</v>
      </c>
      <c r="X7" s="22">
        <f t="shared" si="13"/>
        <v>52551</v>
      </c>
      <c r="Y7" s="22">
        <f t="shared" si="13"/>
        <v>49388</v>
      </c>
      <c r="Z7" s="24">
        <f>sum(V7:Y7)</f>
        <v>184998</v>
      </c>
      <c r="AA7" s="22">
        <f t="shared" ref="AA7:AB7" si="14">AA9-AA4</f>
        <v>48864</v>
      </c>
      <c r="AB7" s="22">
        <f t="shared" si="14"/>
        <v>45615</v>
      </c>
      <c r="AC7" s="25">
        <f t="shared" ref="AC7:AD7" si="15">AB7*(1+C71)</f>
        <v>46983.45</v>
      </c>
      <c r="AD7" s="25">
        <f t="shared" si="15"/>
        <v>48392.9535</v>
      </c>
      <c r="AE7" s="26">
        <f>sum(AA7:AD7)</f>
        <v>189855.4035</v>
      </c>
      <c r="AF7" s="25">
        <f>AD7*(1+E71)</f>
        <v>62910.83955</v>
      </c>
      <c r="AG7" s="25">
        <f t="shared" ref="AG7:AI7" si="16">AF7*(1+F71)</f>
        <v>78638.54944</v>
      </c>
      <c r="AH7" s="25">
        <f t="shared" si="16"/>
        <v>98298.1868</v>
      </c>
      <c r="AI7" s="25">
        <f t="shared" si="16"/>
        <v>122872.7335</v>
      </c>
      <c r="AJ7" s="26">
        <f>sum(AF7:AI7)</f>
        <v>362720.3093</v>
      </c>
      <c r="AK7" s="25">
        <f>AI7*(1+I71)</f>
        <v>126558.9155</v>
      </c>
      <c r="AL7" s="25">
        <f t="shared" ref="AL7:AN7" si="17">AK7*(1+J71)</f>
        <v>130355.683</v>
      </c>
      <c r="AM7" s="25">
        <f t="shared" si="17"/>
        <v>134266.3535</v>
      </c>
      <c r="AN7" s="25">
        <f t="shared" si="17"/>
        <v>138294.3441</v>
      </c>
      <c r="AO7" s="26">
        <f>sum(AK7:AN7)</f>
        <v>529475.296</v>
      </c>
      <c r="AP7" s="25">
        <f>AN7*(1+M71)</f>
        <v>142443.1744</v>
      </c>
      <c r="AQ7" s="25">
        <f t="shared" ref="AQ7:AS7" si="18">AP7*(1+N71)</f>
        <v>146716.4696</v>
      </c>
      <c r="AR7" s="25">
        <f t="shared" si="18"/>
        <v>151117.9637</v>
      </c>
      <c r="AS7" s="25">
        <f t="shared" si="18"/>
        <v>155651.5026</v>
      </c>
      <c r="AT7" s="26">
        <f>sum(AP7:AS7)</f>
        <v>595929.1103</v>
      </c>
      <c r="AU7" s="25">
        <f>AS7*(1+Q71)</f>
        <v>160321.0477</v>
      </c>
      <c r="AV7" s="25">
        <f t="shared" ref="AV7:AX7" si="19">AU7*(1+R71)</f>
        <v>165130.6791</v>
      </c>
      <c r="AW7" s="25">
        <f t="shared" si="19"/>
        <v>170084.5995</v>
      </c>
      <c r="AX7" s="25">
        <f t="shared" si="19"/>
        <v>175187.1375</v>
      </c>
      <c r="AY7" s="26">
        <f>sum(AU7:AX7)</f>
        <v>670723.4638</v>
      </c>
      <c r="AZ7" s="25"/>
      <c r="BA7" s="25"/>
      <c r="BB7" s="25"/>
      <c r="BC7" s="25"/>
      <c r="BD7" s="25"/>
      <c r="BE7" s="25"/>
      <c r="BF7" s="25"/>
      <c r="BG7" s="25"/>
      <c r="BH7" s="25"/>
      <c r="BI7" s="25"/>
      <c r="BJ7" s="25"/>
      <c r="BK7" s="25"/>
      <c r="BL7" s="25"/>
      <c r="BM7" s="25"/>
      <c r="BN7" s="25"/>
      <c r="BO7" s="25"/>
      <c r="BP7" s="25"/>
      <c r="BQ7" s="25"/>
      <c r="BR7" s="25"/>
      <c r="BS7" s="25"/>
    </row>
    <row r="8" ht="15.75" customHeight="1">
      <c r="A8" s="14" t="s">
        <v>103</v>
      </c>
      <c r="B8" s="25"/>
      <c r="C8" s="32">
        <f t="shared" ref="C8:Y8" si="20">C7/B7-1</f>
        <v>-0.1315894304</v>
      </c>
      <c r="D8" s="32">
        <f t="shared" si="20"/>
        <v>0.3345565749</v>
      </c>
      <c r="E8" s="32">
        <f t="shared" si="20"/>
        <v>-0.1264894592</v>
      </c>
      <c r="F8" s="32">
        <f t="shared" si="20"/>
        <v>0.3230587618</v>
      </c>
      <c r="G8" s="32">
        <f t="shared" si="20"/>
        <v>0.04421532666</v>
      </c>
      <c r="H8" s="32">
        <f t="shared" si="20"/>
        <v>0.03465299535</v>
      </c>
      <c r="I8" s="32">
        <f t="shared" si="20"/>
        <v>0.2453661222</v>
      </c>
      <c r="J8" s="32">
        <f t="shared" si="20"/>
        <v>0.168287651</v>
      </c>
      <c r="K8" s="32">
        <f t="shared" si="20"/>
        <v>-0.07196014127</v>
      </c>
      <c r="L8" s="32">
        <f t="shared" si="20"/>
        <v>0.2864424057</v>
      </c>
      <c r="M8" s="32">
        <f t="shared" si="20"/>
        <v>0.0706286318</v>
      </c>
      <c r="N8" s="32">
        <f t="shared" si="20"/>
        <v>0.06651206395</v>
      </c>
      <c r="O8" s="32">
        <f t="shared" si="20"/>
        <v>0.01105713625</v>
      </c>
      <c r="P8" s="32">
        <f t="shared" si="20"/>
        <v>0.05339983527</v>
      </c>
      <c r="Q8" s="32">
        <f t="shared" si="20"/>
        <v>0.1105946744</v>
      </c>
      <c r="R8" s="32">
        <f t="shared" si="20"/>
        <v>0.09563108695</v>
      </c>
      <c r="S8" s="32">
        <f t="shared" si="20"/>
        <v>0.03362844495</v>
      </c>
      <c r="T8" s="32">
        <f t="shared" si="20"/>
        <v>0.1572148926</v>
      </c>
      <c r="U8" s="32">
        <f t="shared" si="20"/>
        <v>0.1670745538</v>
      </c>
      <c r="V8" s="32">
        <f t="shared" si="20"/>
        <v>0.05884308511</v>
      </c>
      <c r="W8" s="32">
        <f t="shared" si="20"/>
        <v>0.006013766453</v>
      </c>
      <c r="X8" s="32">
        <f t="shared" si="20"/>
        <v>0.2616075287</v>
      </c>
      <c r="Y8" s="32">
        <f t="shared" si="20"/>
        <v>-0.06018914959</v>
      </c>
      <c r="Z8" s="30"/>
      <c r="AA8" s="32">
        <f>AA7/Y7-1</f>
        <v>-0.01060986474</v>
      </c>
      <c r="AB8" s="32">
        <f t="shared" ref="AB8:AD8" si="21">AB7/AA7-1</f>
        <v>-0.06649066798</v>
      </c>
      <c r="AC8" s="32">
        <f t="shared" si="21"/>
        <v>0.03</v>
      </c>
      <c r="AD8" s="32">
        <f t="shared" si="21"/>
        <v>0.03</v>
      </c>
      <c r="AE8" s="30">
        <f>AE7/Z7-1</f>
        <v>0.02625651899</v>
      </c>
      <c r="AF8" s="32">
        <f>AF7/AD7-1</f>
        <v>0.3</v>
      </c>
      <c r="AG8" s="32">
        <f t="shared" ref="AG8:AI8" si="22">AG7/AF7-1</f>
        <v>0.25</v>
      </c>
      <c r="AH8" s="32">
        <f t="shared" si="22"/>
        <v>0.25</v>
      </c>
      <c r="AI8" s="32">
        <f t="shared" si="22"/>
        <v>0.25</v>
      </c>
      <c r="AJ8" s="30">
        <f>AJ7/AE7-1</f>
        <v>0.9105082215</v>
      </c>
      <c r="AK8" s="32">
        <f>AK7/AI7-1</f>
        <v>0.03</v>
      </c>
      <c r="AL8" s="32">
        <f t="shared" ref="AL8:AN8" si="23">AL7/AK7-1</f>
        <v>0.03</v>
      </c>
      <c r="AM8" s="32">
        <f t="shared" si="23"/>
        <v>0.03</v>
      </c>
      <c r="AN8" s="32">
        <f t="shared" si="23"/>
        <v>0.03</v>
      </c>
      <c r="AO8" s="30">
        <f>AO7/AJ7-1</f>
        <v>0.459734353</v>
      </c>
      <c r="AP8" s="32">
        <f>AP7/AN7-1</f>
        <v>0.03</v>
      </c>
      <c r="AQ8" s="32">
        <f t="shared" ref="AQ8:AS8" si="24">AQ7/AP7-1</f>
        <v>0.03</v>
      </c>
      <c r="AR8" s="32">
        <f t="shared" si="24"/>
        <v>0.03</v>
      </c>
      <c r="AS8" s="32">
        <f t="shared" si="24"/>
        <v>0.03</v>
      </c>
      <c r="AT8" s="30">
        <f>AT7/AO7-1</f>
        <v>0.12550881</v>
      </c>
      <c r="AU8" s="32">
        <f>AU7/AS7-1</f>
        <v>0.03</v>
      </c>
      <c r="AV8" s="32">
        <f t="shared" ref="AV8:AX8" si="25">AV7/AU7-1</f>
        <v>0.03</v>
      </c>
      <c r="AW8" s="32">
        <f t="shared" si="25"/>
        <v>0.03</v>
      </c>
      <c r="AX8" s="32">
        <f t="shared" si="25"/>
        <v>0.03</v>
      </c>
      <c r="AY8" s="30">
        <f>AY7/AT7-1</f>
        <v>0.12550881</v>
      </c>
      <c r="AZ8" s="25"/>
      <c r="BA8" s="25"/>
      <c r="BB8" s="25"/>
      <c r="BC8" s="25"/>
      <c r="BD8" s="25"/>
      <c r="BE8" s="25"/>
      <c r="BF8" s="25"/>
      <c r="BG8" s="25"/>
      <c r="BH8" s="25"/>
      <c r="BI8" s="25"/>
      <c r="BJ8" s="25"/>
      <c r="BK8" s="25"/>
      <c r="BL8" s="25"/>
      <c r="BM8" s="25"/>
      <c r="BN8" s="25"/>
      <c r="BO8" s="25"/>
      <c r="BP8" s="25"/>
      <c r="BQ8" s="25"/>
      <c r="BR8" s="25"/>
      <c r="BS8" s="25"/>
    </row>
    <row r="9" ht="15.75" customHeight="1">
      <c r="A9" s="13" t="s">
        <v>13</v>
      </c>
      <c r="B9" s="33">
        <f>B4+B7</f>
        <v>47289</v>
      </c>
      <c r="C9" s="33">
        <v>55701.0</v>
      </c>
      <c r="D9" s="34">
        <v>66379.0</v>
      </c>
      <c r="E9" s="34">
        <v>80455.0</v>
      </c>
      <c r="F9" s="34">
        <v>96077.0</v>
      </c>
      <c r="G9" s="34">
        <v>108108.0</v>
      </c>
      <c r="H9" s="33">
        <v>125119.0</v>
      </c>
      <c r="I9" s="33">
        <v>152109.0</v>
      </c>
      <c r="J9" s="33">
        <v>178078.0</v>
      </c>
      <c r="K9" s="33">
        <v>198971.0</v>
      </c>
      <c r="L9" s="33">
        <f>L4+L7</f>
        <v>232460</v>
      </c>
      <c r="M9" s="33">
        <v>264929.0</v>
      </c>
      <c r="N9" s="33">
        <v>302843.0</v>
      </c>
      <c r="O9" s="33">
        <v>337690.0</v>
      </c>
      <c r="P9" s="33">
        <v>380051.0</v>
      </c>
      <c r="Q9" s="33">
        <v>431010.0</v>
      </c>
      <c r="R9" s="33">
        <v>487834.0</v>
      </c>
      <c r="S9" s="33">
        <v>535153.0</v>
      </c>
      <c r="T9" s="33">
        <v>580882.0</v>
      </c>
      <c r="U9" s="33">
        <v>637367.0</v>
      </c>
      <c r="V9" s="33">
        <v>692580.0</v>
      </c>
      <c r="W9" s="33">
        <v>731626.0</v>
      </c>
      <c r="X9" s="33">
        <v>786014.0</v>
      </c>
      <c r="Y9" s="33">
        <v>845335.0</v>
      </c>
      <c r="Z9" s="35">
        <f>sum(V9:Y9)</f>
        <v>3055555</v>
      </c>
      <c r="AA9" s="33">
        <v>921036.0</v>
      </c>
      <c r="AB9" s="33">
        <v>963872.0</v>
      </c>
      <c r="AC9" s="31">
        <f t="shared" ref="AC9:AD9" si="26">AC4+AC7</f>
        <v>1001053.23</v>
      </c>
      <c r="AD9" s="31">
        <f t="shared" si="26"/>
        <v>1036528.795</v>
      </c>
      <c r="AE9" s="36">
        <f>sum(AA9:AD9)</f>
        <v>3922490.025</v>
      </c>
      <c r="AF9" s="31">
        <f t="shared" ref="AF9:AI9" si="27">AF4+AF7</f>
        <v>1126147.829</v>
      </c>
      <c r="AG9" s="31">
        <f t="shared" si="27"/>
        <v>1220018.167</v>
      </c>
      <c r="AH9" s="31">
        <f t="shared" si="27"/>
        <v>1320964.907</v>
      </c>
      <c r="AI9" s="31">
        <f t="shared" si="27"/>
        <v>1430077.224</v>
      </c>
      <c r="AJ9" s="36">
        <f>sum(AF9:AI9)</f>
        <v>5097208.127</v>
      </c>
      <c r="AK9" s="31">
        <f t="shared" ref="AK9:AN9" si="28">AK4+AK7</f>
        <v>1521661.333</v>
      </c>
      <c r="AL9" s="31">
        <f t="shared" si="28"/>
        <v>1616829.068</v>
      </c>
      <c r="AM9" s="31">
        <f t="shared" si="28"/>
        <v>1715700.121</v>
      </c>
      <c r="AN9" s="31">
        <f t="shared" si="28"/>
        <v>1818395.993</v>
      </c>
      <c r="AO9" s="36">
        <f>sum(AK9:AN9)</f>
        <v>6672586.515</v>
      </c>
      <c r="AP9" s="31">
        <f t="shared" ref="AP9:AS9" si="29">AP4+AP7</f>
        <v>1925041.823</v>
      </c>
      <c r="AQ9" s="31">
        <f t="shared" si="29"/>
        <v>2035766.489</v>
      </c>
      <c r="AR9" s="31">
        <f t="shared" si="29"/>
        <v>2150702.712</v>
      </c>
      <c r="AS9" s="31">
        <f t="shared" si="29"/>
        <v>2269987.17</v>
      </c>
      <c r="AT9" s="36">
        <f>sum(AP9:AS9)</f>
        <v>8381498.194</v>
      </c>
      <c r="AU9" s="31">
        <f t="shared" ref="AU9:AX9" si="30">AU4+AU7</f>
        <v>2382839.137</v>
      </c>
      <c r="AV9" s="31">
        <f t="shared" si="30"/>
        <v>2499172.58</v>
      </c>
      <c r="AW9" s="31">
        <f t="shared" si="30"/>
        <v>2619077.574</v>
      </c>
      <c r="AX9" s="31">
        <f t="shared" si="30"/>
        <v>2742646.317</v>
      </c>
      <c r="AY9" s="36">
        <f>sum(AU9:AX9)</f>
        <v>10243735.61</v>
      </c>
      <c r="AZ9" s="33"/>
      <c r="BA9" s="33"/>
      <c r="BB9" s="33"/>
      <c r="BC9" s="33"/>
      <c r="BD9" s="33"/>
      <c r="BE9" s="33"/>
      <c r="BF9" s="33"/>
      <c r="BG9" s="33"/>
      <c r="BH9" s="33"/>
      <c r="BI9" s="33"/>
      <c r="BJ9" s="33"/>
      <c r="BK9" s="33"/>
      <c r="BL9" s="33"/>
      <c r="BM9" s="33"/>
      <c r="BN9" s="33"/>
      <c r="BO9" s="33"/>
      <c r="BP9" s="33"/>
      <c r="BQ9" s="33"/>
      <c r="BR9" s="33"/>
      <c r="BS9" s="33"/>
    </row>
    <row r="10" ht="15.75" customHeight="1">
      <c r="A10" s="3" t="s">
        <v>104</v>
      </c>
      <c r="B10" s="14"/>
      <c r="C10" s="2">
        <f t="shared" ref="C10:Y10" si="31">C9/B9-1</f>
        <v>0.1778849204</v>
      </c>
      <c r="D10" s="2">
        <f t="shared" si="31"/>
        <v>0.1917021238</v>
      </c>
      <c r="E10" s="2">
        <f t="shared" si="31"/>
        <v>0.2120550174</v>
      </c>
      <c r="F10" s="2">
        <f t="shared" si="31"/>
        <v>0.1941706544</v>
      </c>
      <c r="G10" s="2">
        <f t="shared" si="31"/>
        <v>0.1252224778</v>
      </c>
      <c r="H10" s="2">
        <f t="shared" si="31"/>
        <v>0.1573519074</v>
      </c>
      <c r="I10" s="2">
        <f t="shared" si="31"/>
        <v>0.2157146397</v>
      </c>
      <c r="J10" s="2">
        <f t="shared" si="31"/>
        <v>0.1707262555</v>
      </c>
      <c r="K10" s="2">
        <f t="shared" si="31"/>
        <v>0.1173249924</v>
      </c>
      <c r="L10" s="2">
        <f t="shared" si="31"/>
        <v>0.1683109599</v>
      </c>
      <c r="M10" s="2">
        <f t="shared" si="31"/>
        <v>0.1396756431</v>
      </c>
      <c r="N10" s="2">
        <f t="shared" si="31"/>
        <v>0.1431100408</v>
      </c>
      <c r="O10" s="2">
        <f t="shared" si="31"/>
        <v>0.1150662224</v>
      </c>
      <c r="P10" s="2">
        <f t="shared" si="31"/>
        <v>0.1254434541</v>
      </c>
      <c r="Q10" s="2">
        <f t="shared" si="31"/>
        <v>0.134084636</v>
      </c>
      <c r="R10" s="2">
        <f t="shared" si="31"/>
        <v>0.1318391685</v>
      </c>
      <c r="S10" s="2">
        <f t="shared" si="31"/>
        <v>0.09699815921</v>
      </c>
      <c r="T10" s="2">
        <f t="shared" si="31"/>
        <v>0.08545032916</v>
      </c>
      <c r="U10" s="2">
        <f t="shared" si="31"/>
        <v>0.09724005908</v>
      </c>
      <c r="V10" s="2">
        <f t="shared" si="31"/>
        <v>0.08662670016</v>
      </c>
      <c r="W10" s="2">
        <f t="shared" si="31"/>
        <v>0.05637760259</v>
      </c>
      <c r="X10" s="2">
        <f t="shared" si="31"/>
        <v>0.07433852816</v>
      </c>
      <c r="Y10" s="2">
        <f t="shared" si="31"/>
        <v>0.07547066592</v>
      </c>
      <c r="Z10" s="37"/>
      <c r="AA10" s="2">
        <f>AA9/Y9-1</f>
        <v>0.08955147959</v>
      </c>
      <c r="AB10" s="2">
        <f t="shared" ref="AB10:AD10" si="32">AB9/AA9-1</f>
        <v>0.04650849695</v>
      </c>
      <c r="AC10" s="2">
        <f t="shared" si="32"/>
        <v>0.03857486312</v>
      </c>
      <c r="AD10" s="2">
        <f t="shared" si="32"/>
        <v>0.03543823968</v>
      </c>
      <c r="AE10" s="37">
        <f>AE9/Z9-1</f>
        <v>0.2837242417</v>
      </c>
      <c r="AF10" s="2">
        <f>AF9/AD9-1</f>
        <v>0.08646072772</v>
      </c>
      <c r="AG10" s="2">
        <f t="shared" ref="AG10:AI10" si="33">AG9/AF9-1</f>
        <v>0.08335525417</v>
      </c>
      <c r="AH10" s="2">
        <f t="shared" si="33"/>
        <v>0.08274199718</v>
      </c>
      <c r="AI10" s="2">
        <f t="shared" si="33"/>
        <v>0.08260046598</v>
      </c>
      <c r="AJ10" s="37">
        <f>AJ9/AE9-1</f>
        <v>0.2994827504</v>
      </c>
      <c r="AK10" s="2">
        <f>AK9/AI9-1</f>
        <v>0.0640413734</v>
      </c>
      <c r="AL10" s="2">
        <f t="shared" ref="AL10:AN10" si="34">AL9/AK9-1</f>
        <v>0.06254199446</v>
      </c>
      <c r="AM10" s="2">
        <f t="shared" si="34"/>
        <v>0.06115120936</v>
      </c>
      <c r="AN10" s="2">
        <f t="shared" si="34"/>
        <v>0.05985653975</v>
      </c>
      <c r="AO10" s="37">
        <f>AO9/AJ9-1</f>
        <v>0.3090669146</v>
      </c>
      <c r="AP10" s="2">
        <f>AP9/AN9-1</f>
        <v>0.05864829808</v>
      </c>
      <c r="AQ10" s="2">
        <f t="shared" ref="AQ10:AS10" si="35">AQ9/AP9-1</f>
        <v>0.0575180571</v>
      </c>
      <c r="AR10" s="2">
        <f t="shared" si="35"/>
        <v>0.05645845138</v>
      </c>
      <c r="AS10" s="2">
        <f t="shared" si="35"/>
        <v>0.05546301517</v>
      </c>
      <c r="AT10" s="37">
        <f>AT9/AO9-1</f>
        <v>0.2561093326</v>
      </c>
      <c r="AU10" s="2">
        <f>AU9/AS9-1</f>
        <v>0.04971480391</v>
      </c>
      <c r="AV10" s="2">
        <f t="shared" ref="AV10:AX10" si="36">AV9/AU9-1</f>
        <v>0.04882135843</v>
      </c>
      <c r="AW10" s="2">
        <f t="shared" si="36"/>
        <v>0.04797787689</v>
      </c>
      <c r="AX10" s="2">
        <f t="shared" si="36"/>
        <v>0.04718025309</v>
      </c>
      <c r="AY10" s="37">
        <f>AY9/AT9-1</f>
        <v>0.2221843125</v>
      </c>
    </row>
    <row r="11" ht="15.75" customHeight="1">
      <c r="B11" s="14"/>
      <c r="C11" s="14"/>
      <c r="D11" s="14"/>
      <c r="E11" s="14"/>
      <c r="F11" s="14"/>
      <c r="G11" s="14"/>
      <c r="Z11" s="38"/>
      <c r="AD11" s="2"/>
      <c r="AE11" s="37"/>
      <c r="AI11" s="2"/>
      <c r="AJ11" s="37"/>
      <c r="AN11" s="2"/>
      <c r="AO11" s="37"/>
      <c r="AT11" s="15"/>
      <c r="AY11" s="15"/>
    </row>
    <row r="12" ht="15.75" customHeight="1">
      <c r="B12" s="14"/>
      <c r="C12" s="14"/>
      <c r="D12" s="14"/>
      <c r="E12" s="14"/>
      <c r="F12" s="14"/>
      <c r="G12" s="14"/>
      <c r="Z12" s="15"/>
      <c r="AE12" s="15"/>
      <c r="AJ12" s="15"/>
      <c r="AO12" s="15"/>
      <c r="AT12" s="15"/>
      <c r="AY12" s="15"/>
    </row>
    <row r="13" ht="15.75" customHeight="1">
      <c r="A13" s="3"/>
      <c r="B13" s="14"/>
      <c r="C13" s="14"/>
      <c r="D13" s="14"/>
      <c r="E13" s="14"/>
      <c r="F13" s="14"/>
      <c r="G13" s="14"/>
      <c r="Z13" s="15"/>
      <c r="AE13" s="15"/>
      <c r="AJ13" s="15"/>
      <c r="AO13" s="15"/>
      <c r="AT13" s="15"/>
      <c r="AY13" s="15"/>
    </row>
    <row r="14" ht="15.75" customHeight="1">
      <c r="A14" s="1" t="s">
        <v>105</v>
      </c>
      <c r="B14" s="22"/>
      <c r="C14" s="22"/>
      <c r="D14" s="22"/>
      <c r="E14" s="22"/>
      <c r="F14" s="22"/>
      <c r="G14" s="22"/>
      <c r="H14" s="39"/>
      <c r="I14" s="39"/>
      <c r="J14" s="39"/>
      <c r="K14" s="39"/>
      <c r="L14" s="39"/>
      <c r="M14" s="39"/>
      <c r="N14" s="39"/>
      <c r="O14" s="39"/>
      <c r="P14" s="39"/>
      <c r="Q14" s="39"/>
      <c r="R14" s="39"/>
      <c r="S14" s="39"/>
      <c r="T14" s="39"/>
      <c r="U14" s="39"/>
      <c r="V14" s="39"/>
      <c r="W14" s="39"/>
      <c r="X14" s="39"/>
      <c r="Y14" s="39"/>
      <c r="Z14" s="40"/>
      <c r="AA14" s="39"/>
      <c r="AB14" s="39"/>
      <c r="AC14" s="39"/>
      <c r="AD14" s="39"/>
      <c r="AE14" s="40"/>
      <c r="AF14" s="39"/>
      <c r="AG14" s="39"/>
      <c r="AH14" s="39"/>
      <c r="AI14" s="39"/>
      <c r="AJ14" s="40"/>
      <c r="AK14" s="39"/>
      <c r="AL14" s="39"/>
      <c r="AM14" s="39"/>
      <c r="AN14" s="39"/>
      <c r="AO14" s="40"/>
      <c r="AP14" s="39"/>
      <c r="AQ14" s="39"/>
      <c r="AR14" s="39"/>
      <c r="AS14" s="39"/>
      <c r="AT14" s="40"/>
      <c r="AU14" s="39"/>
      <c r="AV14" s="39"/>
      <c r="AW14" s="39"/>
      <c r="AX14" s="39"/>
      <c r="AY14" s="40"/>
      <c r="AZ14" s="39"/>
      <c r="BA14" s="39"/>
      <c r="BB14" s="39"/>
      <c r="BC14" s="39"/>
      <c r="BD14" s="39"/>
      <c r="BE14" s="39"/>
      <c r="BF14" s="39"/>
      <c r="BG14" s="39"/>
      <c r="BH14" s="39"/>
      <c r="BI14" s="39"/>
      <c r="BJ14" s="39"/>
      <c r="BK14" s="39"/>
      <c r="BL14" s="39"/>
      <c r="BM14" s="39"/>
      <c r="BN14" s="39"/>
      <c r="BO14" s="39"/>
      <c r="BP14" s="39"/>
      <c r="BQ14" s="39"/>
      <c r="BR14" s="39"/>
      <c r="BS14" s="39"/>
    </row>
    <row r="15" ht="15.75" customHeight="1">
      <c r="A15" s="3" t="s">
        <v>106</v>
      </c>
      <c r="B15" s="25"/>
      <c r="C15" s="25"/>
      <c r="D15" s="25"/>
      <c r="E15" s="25"/>
      <c r="F15" s="25">
        <f t="shared" ref="F15:Y15" si="37">F17-F16</f>
        <v>365000</v>
      </c>
      <c r="G15" s="25">
        <f t="shared" si="37"/>
        <v>365000</v>
      </c>
      <c r="H15" s="25">
        <f t="shared" si="37"/>
        <v>424000</v>
      </c>
      <c r="I15" s="25">
        <f t="shared" si="37"/>
        <v>502000</v>
      </c>
      <c r="J15" s="25">
        <f t="shared" si="37"/>
        <v>600000</v>
      </c>
      <c r="K15" s="25">
        <f t="shared" si="37"/>
        <v>686000</v>
      </c>
      <c r="L15" s="25">
        <f t="shared" si="37"/>
        <v>790000</v>
      </c>
      <c r="M15" s="25">
        <f t="shared" si="37"/>
        <v>907000</v>
      </c>
      <c r="N15" s="25">
        <f t="shared" si="37"/>
        <v>1046000</v>
      </c>
      <c r="O15" s="25">
        <f t="shared" si="37"/>
        <v>1189000</v>
      </c>
      <c r="P15" s="25">
        <f t="shared" si="37"/>
        <v>1340000</v>
      </c>
      <c r="Q15" s="25">
        <f t="shared" si="37"/>
        <v>1513000</v>
      </c>
      <c r="R15" s="25">
        <f t="shared" si="37"/>
        <v>1729000</v>
      </c>
      <c r="S15" s="25">
        <f t="shared" si="37"/>
        <v>1922000</v>
      </c>
      <c r="T15" s="25">
        <f t="shared" si="37"/>
        <v>2142000</v>
      </c>
      <c r="U15" s="25">
        <f t="shared" si="37"/>
        <v>2338000</v>
      </c>
      <c r="V15" s="25">
        <f t="shared" si="37"/>
        <v>2560000</v>
      </c>
      <c r="W15" s="25">
        <f t="shared" si="37"/>
        <v>2734000</v>
      </c>
      <c r="X15" s="25">
        <f t="shared" si="37"/>
        <v>2927000</v>
      </c>
      <c r="Y15" s="25">
        <f t="shared" si="37"/>
        <v>3153000</v>
      </c>
      <c r="Z15" s="26"/>
      <c r="AA15" s="25">
        <f t="shared" ref="AA15:AB15" si="38">AA17-AA16</f>
        <v>3435000</v>
      </c>
      <c r="AB15" s="25">
        <f t="shared" si="38"/>
        <v>3647000</v>
      </c>
      <c r="AC15" s="25">
        <f t="shared" ref="AC15:AD15" si="39">AB17</f>
        <v>3865000</v>
      </c>
      <c r="AD15" s="25">
        <f t="shared" si="39"/>
        <v>4097692.029</v>
      </c>
      <c r="AE15" s="26">
        <f t="shared" ref="AE15:AE17" si="45">sum(AA15:AD15)</f>
        <v>15044692.03</v>
      </c>
      <c r="AF15" s="25">
        <f>AD17</f>
        <v>4330616.75</v>
      </c>
      <c r="AG15" s="25">
        <f t="shared" ref="AG15:AI15" si="40">AF17</f>
        <v>4557218.581</v>
      </c>
      <c r="AH15" s="25">
        <f t="shared" si="40"/>
        <v>4784500.217</v>
      </c>
      <c r="AI15" s="25">
        <f t="shared" si="40"/>
        <v>5012463.699</v>
      </c>
      <c r="AJ15" s="26"/>
      <c r="AK15" s="25">
        <f>AI17</f>
        <v>5241111.071</v>
      </c>
      <c r="AL15" s="25">
        <f t="shared" ref="AL15:AN15" si="41">AK17</f>
        <v>5470444.385</v>
      </c>
      <c r="AM15" s="25">
        <f t="shared" si="41"/>
        <v>5700465.698</v>
      </c>
      <c r="AN15" s="25">
        <f t="shared" si="41"/>
        <v>5931177.076</v>
      </c>
      <c r="AO15" s="26"/>
      <c r="AP15" s="25">
        <f>AN17</f>
        <v>6162573.667</v>
      </c>
      <c r="AQ15" s="25">
        <f t="shared" ref="AQ15:AS15" si="42">AP17</f>
        <v>6394650.633</v>
      </c>
      <c r="AR15" s="25">
        <f t="shared" si="42"/>
        <v>6627403.151</v>
      </c>
      <c r="AS15" s="25">
        <f t="shared" si="42"/>
        <v>6860826.413</v>
      </c>
      <c r="AT15" s="26"/>
      <c r="AU15" s="25">
        <f>AS17</f>
        <v>7094915.624</v>
      </c>
      <c r="AV15" s="25">
        <f t="shared" ref="AV15:AX15" si="43">AU17</f>
        <v>7329666.006</v>
      </c>
      <c r="AW15" s="25">
        <f t="shared" si="43"/>
        <v>7565072.797</v>
      </c>
      <c r="AX15" s="25">
        <f t="shared" si="43"/>
        <v>7801131.248</v>
      </c>
      <c r="AY15" s="26"/>
      <c r="AZ15" s="25"/>
      <c r="BA15" s="25"/>
      <c r="BB15" s="25"/>
      <c r="BC15" s="25"/>
      <c r="BD15" s="25"/>
      <c r="BE15" s="25"/>
      <c r="BF15" s="25"/>
      <c r="BG15" s="25"/>
      <c r="BH15" s="25"/>
      <c r="BI15" s="25"/>
      <c r="BJ15" s="25"/>
      <c r="BK15" s="25"/>
      <c r="BL15" s="25"/>
      <c r="BM15" s="25"/>
      <c r="BN15" s="25"/>
      <c r="BO15" s="25"/>
      <c r="BP15" s="25"/>
      <c r="BQ15" s="25"/>
      <c r="BR15" s="25"/>
      <c r="BS15" s="25"/>
    </row>
    <row r="16" ht="15.75" customHeight="1">
      <c r="A16" s="3" t="s">
        <v>10</v>
      </c>
      <c r="B16" s="22"/>
      <c r="C16" s="22"/>
      <c r="D16" s="22"/>
      <c r="E16" s="22"/>
      <c r="F16" s="22"/>
      <c r="G16" s="22">
        <v>59000.0</v>
      </c>
      <c r="H16" s="22">
        <v>78000.0</v>
      </c>
      <c r="I16" s="22">
        <v>99000.0</v>
      </c>
      <c r="J16" s="22">
        <v>86000.0</v>
      </c>
      <c r="K16" s="22">
        <v>105000.0</v>
      </c>
      <c r="L16" s="22">
        <v>117000.0</v>
      </c>
      <c r="M16" s="22">
        <v>143000.0</v>
      </c>
      <c r="N16" s="22">
        <v>144000.0</v>
      </c>
      <c r="O16" s="22">
        <v>151000.0</v>
      </c>
      <c r="P16" s="22">
        <v>170000.0</v>
      </c>
      <c r="Q16" s="22">
        <v>217000.0</v>
      </c>
      <c r="R16" s="22">
        <v>191000.0</v>
      </c>
      <c r="S16" s="22">
        <v>218000.0</v>
      </c>
      <c r="T16" s="22">
        <v>198000.0</v>
      </c>
      <c r="U16" s="22">
        <v>222000.0</v>
      </c>
      <c r="V16" s="22">
        <v>174000.0</v>
      </c>
      <c r="W16" s="22">
        <v>196000.0</v>
      </c>
      <c r="X16" s="22">
        <v>223000.0</v>
      </c>
      <c r="Y16" s="22">
        <v>282000.0</v>
      </c>
      <c r="Z16" s="24"/>
      <c r="AA16" s="22">
        <v>212000.0</v>
      </c>
      <c r="AB16" s="22">
        <v>218000.0</v>
      </c>
      <c r="AC16" s="22">
        <f t="shared" ref="AC16:AD16" si="44">AC17-AC15</f>
        <v>232692.0288</v>
      </c>
      <c r="AD16" s="22">
        <f t="shared" si="44"/>
        <v>232924.7208</v>
      </c>
      <c r="AE16" s="26">
        <f t="shared" si="45"/>
        <v>895616.7496</v>
      </c>
      <c r="AF16" s="22">
        <f t="shared" ref="AF16:AI16" si="46">AF17-AF15</f>
        <v>226601.831</v>
      </c>
      <c r="AG16" s="22">
        <f t="shared" si="46"/>
        <v>227281.6365</v>
      </c>
      <c r="AH16" s="22">
        <f t="shared" si="46"/>
        <v>227963.4814</v>
      </c>
      <c r="AI16" s="22">
        <f t="shared" si="46"/>
        <v>228647.3719</v>
      </c>
      <c r="AJ16" s="24"/>
      <c r="AK16" s="22">
        <f t="shared" ref="AK16:AN16" si="47">AK17-AK15</f>
        <v>229333.314</v>
      </c>
      <c r="AL16" s="22">
        <f t="shared" si="47"/>
        <v>230021.3139</v>
      </c>
      <c r="AM16" s="22">
        <f t="shared" si="47"/>
        <v>230711.3779</v>
      </c>
      <c r="AN16" s="22">
        <f t="shared" si="47"/>
        <v>231396.5907</v>
      </c>
      <c r="AO16" s="24"/>
      <c r="AP16" s="22">
        <f t="shared" ref="AP16:AS16" si="48">AP17-AP15</f>
        <v>232076.9661</v>
      </c>
      <c r="AQ16" s="22">
        <f t="shared" si="48"/>
        <v>232752.5182</v>
      </c>
      <c r="AR16" s="22">
        <f t="shared" si="48"/>
        <v>233423.2616</v>
      </c>
      <c r="AS16" s="22">
        <f t="shared" si="48"/>
        <v>234089.2112</v>
      </c>
      <c r="AT16" s="24"/>
      <c r="AU16" s="22">
        <f t="shared" ref="AU16:AX16" si="49">AU17-AU15</f>
        <v>234750.3823</v>
      </c>
      <c r="AV16" s="22">
        <f t="shared" si="49"/>
        <v>235406.7904</v>
      </c>
      <c r="AW16" s="22">
        <f t="shared" si="49"/>
        <v>236058.4515</v>
      </c>
      <c r="AX16" s="22">
        <f t="shared" si="49"/>
        <v>236705.3819</v>
      </c>
      <c r="AY16" s="24"/>
      <c r="AZ16" s="22"/>
      <c r="BA16" s="22"/>
      <c r="BB16" s="22"/>
      <c r="BC16" s="22"/>
      <c r="BD16" s="22"/>
      <c r="BE16" s="22"/>
      <c r="BF16" s="22"/>
      <c r="BG16" s="22"/>
      <c r="BH16" s="22"/>
      <c r="BI16" s="22"/>
      <c r="BJ16" s="22"/>
      <c r="BK16" s="22"/>
      <c r="BL16" s="22"/>
      <c r="BM16" s="22"/>
      <c r="BN16" s="22"/>
      <c r="BO16" s="22"/>
      <c r="BP16" s="22"/>
      <c r="BQ16" s="22"/>
      <c r="BR16" s="22"/>
      <c r="BS16" s="22"/>
    </row>
    <row r="17" ht="15.75" customHeight="1">
      <c r="A17" s="1" t="s">
        <v>107</v>
      </c>
      <c r="B17" s="33"/>
      <c r="C17" s="33"/>
      <c r="D17" s="33"/>
      <c r="E17" s="33"/>
      <c r="F17" s="33">
        <v>365000.0</v>
      </c>
      <c r="G17" s="33">
        <v>424000.0</v>
      </c>
      <c r="H17" s="33">
        <v>502000.0</v>
      </c>
      <c r="I17" s="33">
        <v>601000.0</v>
      </c>
      <c r="J17" s="33">
        <v>686000.0</v>
      </c>
      <c r="K17" s="33">
        <v>791000.0</v>
      </c>
      <c r="L17" s="33">
        <v>907000.0</v>
      </c>
      <c r="M17" s="33">
        <v>1050000.0</v>
      </c>
      <c r="N17" s="33">
        <v>1190000.0</v>
      </c>
      <c r="O17" s="33">
        <v>1340000.0</v>
      </c>
      <c r="P17" s="33">
        <v>1510000.0</v>
      </c>
      <c r="Q17" s="33">
        <v>1730000.0</v>
      </c>
      <c r="R17" s="33">
        <v>1920000.0</v>
      </c>
      <c r="S17" s="33">
        <v>2140000.0</v>
      </c>
      <c r="T17" s="33">
        <v>2340000.0</v>
      </c>
      <c r="U17" s="33">
        <v>2560000.0</v>
      </c>
      <c r="V17" s="33">
        <v>2734000.0</v>
      </c>
      <c r="W17" s="33">
        <v>2930000.0</v>
      </c>
      <c r="X17" s="33">
        <v>3150000.0</v>
      </c>
      <c r="Y17" s="33">
        <v>3435000.0</v>
      </c>
      <c r="Z17" s="35"/>
      <c r="AA17" s="33">
        <v>3647000.0</v>
      </c>
      <c r="AB17" s="33">
        <v>3865000.0</v>
      </c>
      <c r="AC17" s="31">
        <f t="shared" ref="AC17:AD17" si="50">AC23*AC32</f>
        <v>4097692.029</v>
      </c>
      <c r="AD17" s="31">
        <f t="shared" si="50"/>
        <v>4330616.75</v>
      </c>
      <c r="AE17" s="36">
        <f t="shared" si="45"/>
        <v>15940308.78</v>
      </c>
      <c r="AF17" s="31">
        <f t="shared" ref="AF17:AI17" si="51">AF23*AF32</f>
        <v>4557218.581</v>
      </c>
      <c r="AG17" s="31">
        <f t="shared" si="51"/>
        <v>4784500.217</v>
      </c>
      <c r="AH17" s="31">
        <f t="shared" si="51"/>
        <v>5012463.699</v>
      </c>
      <c r="AI17" s="31">
        <f t="shared" si="51"/>
        <v>5241111.071</v>
      </c>
      <c r="AJ17" s="36"/>
      <c r="AK17" s="31">
        <f t="shared" ref="AK17:AN17" si="52">AK23*AK32</f>
        <v>5470444.385</v>
      </c>
      <c r="AL17" s="31">
        <f t="shared" si="52"/>
        <v>5700465.698</v>
      </c>
      <c r="AM17" s="31">
        <f t="shared" si="52"/>
        <v>5931177.076</v>
      </c>
      <c r="AN17" s="31">
        <f t="shared" si="52"/>
        <v>6162573.667</v>
      </c>
      <c r="AO17" s="36"/>
      <c r="AP17" s="31">
        <f t="shared" ref="AP17:AS17" si="53">AP23*AP32</f>
        <v>6394650.633</v>
      </c>
      <c r="AQ17" s="31">
        <f t="shared" si="53"/>
        <v>6627403.151</v>
      </c>
      <c r="AR17" s="31">
        <f t="shared" si="53"/>
        <v>6860826.413</v>
      </c>
      <c r="AS17" s="31">
        <f t="shared" si="53"/>
        <v>7094915.624</v>
      </c>
      <c r="AT17" s="36"/>
      <c r="AU17" s="31">
        <f t="shared" ref="AU17:AX17" si="54">AU23*AU32</f>
        <v>7329666.006</v>
      </c>
      <c r="AV17" s="31">
        <f t="shared" si="54"/>
        <v>7565072.797</v>
      </c>
      <c r="AW17" s="31">
        <f t="shared" si="54"/>
        <v>7801131.248</v>
      </c>
      <c r="AX17" s="31">
        <f t="shared" si="54"/>
        <v>8037836.63</v>
      </c>
      <c r="AY17" s="35"/>
      <c r="AZ17" s="33"/>
      <c r="BA17" s="33"/>
      <c r="BB17" s="33"/>
      <c r="BC17" s="33"/>
      <c r="BD17" s="33"/>
      <c r="BE17" s="33"/>
      <c r="BF17" s="33"/>
      <c r="BG17" s="33"/>
      <c r="BH17" s="33"/>
      <c r="BI17" s="33"/>
      <c r="BJ17" s="33"/>
      <c r="BK17" s="33"/>
      <c r="BL17" s="33"/>
      <c r="BM17" s="33"/>
      <c r="BN17" s="33"/>
      <c r="BO17" s="33"/>
      <c r="BP17" s="33"/>
      <c r="BQ17" s="33"/>
      <c r="BR17" s="33"/>
      <c r="BS17" s="33"/>
    </row>
    <row r="18" ht="15.75" customHeight="1">
      <c r="A18" s="41" t="s">
        <v>108</v>
      </c>
      <c r="B18" s="42"/>
      <c r="C18" s="42"/>
      <c r="D18" s="42"/>
      <c r="E18" s="42"/>
      <c r="F18" s="42"/>
      <c r="G18" s="43">
        <f t="shared" ref="G18:Y18" si="55">G17/F17-1</f>
        <v>0.1616438356</v>
      </c>
      <c r="H18" s="43">
        <f t="shared" si="55"/>
        <v>0.1839622642</v>
      </c>
      <c r="I18" s="43">
        <f t="shared" si="55"/>
        <v>0.1972111554</v>
      </c>
      <c r="J18" s="43">
        <f t="shared" si="55"/>
        <v>0.1414309484</v>
      </c>
      <c r="K18" s="43">
        <f t="shared" si="55"/>
        <v>0.1530612245</v>
      </c>
      <c r="L18" s="43">
        <f t="shared" si="55"/>
        <v>0.1466498104</v>
      </c>
      <c r="M18" s="43">
        <f t="shared" si="55"/>
        <v>0.157662624</v>
      </c>
      <c r="N18" s="43">
        <f t="shared" si="55"/>
        <v>0.1333333333</v>
      </c>
      <c r="O18" s="43">
        <f t="shared" si="55"/>
        <v>0.1260504202</v>
      </c>
      <c r="P18" s="43">
        <f t="shared" si="55"/>
        <v>0.1268656716</v>
      </c>
      <c r="Q18" s="43">
        <f t="shared" si="55"/>
        <v>0.1456953642</v>
      </c>
      <c r="R18" s="43">
        <f t="shared" si="55"/>
        <v>0.1098265896</v>
      </c>
      <c r="S18" s="43">
        <f t="shared" si="55"/>
        <v>0.1145833333</v>
      </c>
      <c r="T18" s="43">
        <f t="shared" si="55"/>
        <v>0.09345794393</v>
      </c>
      <c r="U18" s="43">
        <f t="shared" si="55"/>
        <v>0.09401709402</v>
      </c>
      <c r="V18" s="43">
        <f t="shared" si="55"/>
        <v>0.06796875</v>
      </c>
      <c r="W18" s="43">
        <f t="shared" si="55"/>
        <v>0.07168983175</v>
      </c>
      <c r="X18" s="43">
        <f t="shared" si="55"/>
        <v>0.07508532423</v>
      </c>
      <c r="Y18" s="43">
        <f t="shared" si="55"/>
        <v>0.09047619048</v>
      </c>
      <c r="Z18" s="37"/>
      <c r="AA18" s="43">
        <f>AA17/Y17-1</f>
        <v>0.06171761281</v>
      </c>
      <c r="AB18" s="43">
        <f t="shared" ref="AB18:AD18" si="56">AB17/AA17-1</f>
        <v>0.05977515766</v>
      </c>
      <c r="AC18" s="43">
        <f t="shared" si="56"/>
        <v>0.06020492336</v>
      </c>
      <c r="AD18" s="43">
        <f t="shared" si="56"/>
        <v>0.05684290552</v>
      </c>
      <c r="AE18" s="37">
        <f>AD17/Y17-1</f>
        <v>0.2607326782</v>
      </c>
      <c r="AF18" s="43">
        <f>AF17/AD17-1</f>
        <v>0.05232553332</v>
      </c>
      <c r="AG18" s="43">
        <f t="shared" ref="AG18:AI18" si="57">AG17/AF17-1</f>
        <v>0.04987288463</v>
      </c>
      <c r="AH18" s="43">
        <f t="shared" si="57"/>
        <v>0.04764624748</v>
      </c>
      <c r="AI18" s="43">
        <f t="shared" si="57"/>
        <v>0.04561576614</v>
      </c>
      <c r="AJ18" s="37">
        <f>AI17/AD17-1</f>
        <v>0.210245878</v>
      </c>
      <c r="AK18" s="43">
        <f>AK17/AI17-1</f>
        <v>0.04375662162</v>
      </c>
      <c r="AL18" s="43">
        <f t="shared" ref="AL18:AN18" si="58">AL17/AK17-1</f>
        <v>0.04204801251</v>
      </c>
      <c r="AM18" s="43">
        <f t="shared" si="58"/>
        <v>0.04047237368</v>
      </c>
      <c r="AN18" s="43">
        <f t="shared" si="58"/>
        <v>0.03901360349</v>
      </c>
      <c r="AO18" s="37">
        <f>AN17/AI17-1</f>
        <v>0.1758143615</v>
      </c>
      <c r="AP18" s="43">
        <f>AP17/AN17-1</f>
        <v>0.03765909807</v>
      </c>
      <c r="AQ18" s="43">
        <f t="shared" ref="AQ18:AS18" si="59">AQ17/AP17-1</f>
        <v>0.03639800383</v>
      </c>
      <c r="AR18" s="43">
        <f t="shared" si="59"/>
        <v>0.03522092384</v>
      </c>
      <c r="AS18" s="43">
        <f t="shared" si="59"/>
        <v>0.03411968138</v>
      </c>
      <c r="AT18" s="37">
        <f>AS17/AN17-1</f>
        <v>0.151291004</v>
      </c>
      <c r="AU18" s="43">
        <f>AU17/AS17-1</f>
        <v>0.03308712812</v>
      </c>
      <c r="AV18" s="43">
        <f t="shared" ref="AV18:AX18" si="60">AV17/AU17-1</f>
        <v>0.03211698734</v>
      </c>
      <c r="AW18" s="43">
        <f t="shared" si="60"/>
        <v>0.03120372504</v>
      </c>
      <c r="AX18" s="43">
        <f t="shared" si="60"/>
        <v>0.03034244321</v>
      </c>
      <c r="AY18" s="37">
        <f>AX17/AS17-1</f>
        <v>0.1329009471</v>
      </c>
      <c r="AZ18" s="41"/>
      <c r="BA18" s="41"/>
      <c r="BB18" s="41"/>
      <c r="BC18" s="41"/>
      <c r="BD18" s="41"/>
      <c r="BE18" s="41"/>
      <c r="BF18" s="41"/>
      <c r="BG18" s="41"/>
      <c r="BH18" s="41"/>
      <c r="BI18" s="41"/>
      <c r="BJ18" s="41"/>
      <c r="BK18" s="41"/>
      <c r="BL18" s="41"/>
      <c r="BM18" s="41"/>
      <c r="BN18" s="41"/>
      <c r="BO18" s="41"/>
      <c r="BP18" s="41"/>
      <c r="BQ18" s="41"/>
      <c r="BR18" s="41"/>
      <c r="BS18" s="41"/>
    </row>
    <row r="19" ht="15.75" customHeight="1">
      <c r="B19" s="14"/>
      <c r="C19" s="14"/>
      <c r="D19" s="14"/>
      <c r="E19" s="14"/>
      <c r="F19" s="14"/>
      <c r="G19" s="14"/>
      <c r="Z19" s="15"/>
      <c r="AE19" s="15"/>
      <c r="AJ19" s="15"/>
      <c r="AO19" s="15"/>
      <c r="AT19" s="15"/>
      <c r="AY19" s="15"/>
    </row>
    <row r="20" ht="15.75" customHeight="1">
      <c r="A20" s="1" t="s">
        <v>109</v>
      </c>
      <c r="B20" s="13" t="s">
        <v>110</v>
      </c>
      <c r="C20" s="13">
        <v>1.0</v>
      </c>
      <c r="D20" s="14"/>
      <c r="E20" s="14"/>
      <c r="F20" s="14"/>
      <c r="G20" s="14"/>
      <c r="V20" s="1" t="s">
        <v>111</v>
      </c>
      <c r="Z20" s="15"/>
      <c r="AC20" s="1" t="s">
        <v>47</v>
      </c>
      <c r="AE20" s="15"/>
      <c r="AJ20" s="15"/>
      <c r="AO20" s="15"/>
      <c r="AT20" s="15"/>
      <c r="AY20" s="15"/>
    </row>
    <row r="21" ht="15.75" customHeight="1">
      <c r="A21" s="14" t="s">
        <v>112</v>
      </c>
      <c r="B21" s="22"/>
      <c r="C21" s="22"/>
      <c r="D21" s="22"/>
      <c r="E21" s="22"/>
      <c r="F21" s="22">
        <v>2516.0</v>
      </c>
      <c r="G21" s="22">
        <v>3059.0</v>
      </c>
      <c r="H21" s="22">
        <v>3789.0</v>
      </c>
      <c r="I21" s="22">
        <v>4561.0</v>
      </c>
      <c r="J21" s="22">
        <v>5431.0</v>
      </c>
      <c r="K21" s="22">
        <v>6261.0</v>
      </c>
      <c r="L21" s="22">
        <v>7230.0</v>
      </c>
      <c r="M21" s="22">
        <v>8416.0</v>
      </c>
      <c r="N21" s="22">
        <v>9896.0</v>
      </c>
      <c r="O21" s="22">
        <v>11420.0</v>
      </c>
      <c r="P21" s="22">
        <v>13080.0</v>
      </c>
      <c r="Q21" s="22">
        <v>14687.0</v>
      </c>
      <c r="R21" s="22">
        <v>16325.0</v>
      </c>
      <c r="S21" s="22">
        <v>17945.0</v>
      </c>
      <c r="T21" s="22">
        <v>19686.0</v>
      </c>
      <c r="U21" s="22">
        <v>21146.0</v>
      </c>
      <c r="V21" s="25">
        <f t="shared" ref="V21:Y21" si="61">U23</f>
        <v>23019</v>
      </c>
      <c r="W21" s="25">
        <f t="shared" si="61"/>
        <v>24929.46</v>
      </c>
      <c r="X21" s="25">
        <f t="shared" si="61"/>
        <v>26878.1292</v>
      </c>
      <c r="Y21" s="25">
        <f t="shared" si="61"/>
        <v>28865.77178</v>
      </c>
      <c r="Z21" s="26"/>
      <c r="AA21" s="25">
        <f>Y23</f>
        <v>30893.16722</v>
      </c>
      <c r="AB21" s="25">
        <f t="shared" ref="AB21:AD21" si="62">AA23</f>
        <v>32961.11056</v>
      </c>
      <c r="AC21" s="25">
        <f t="shared" si="62"/>
        <v>35070.41278</v>
      </c>
      <c r="AD21" s="25">
        <f t="shared" si="62"/>
        <v>37181.82429</v>
      </c>
      <c r="AE21" s="26"/>
      <c r="AF21" s="25">
        <f>AD23</f>
        <v>39295.34721</v>
      </c>
      <c r="AG21" s="25">
        <f t="shared" ref="AG21:AI21" si="63">AF23</f>
        <v>41351.49721</v>
      </c>
      <c r="AH21" s="25">
        <f t="shared" si="63"/>
        <v>43413.81566</v>
      </c>
      <c r="AI21" s="25">
        <f t="shared" si="63"/>
        <v>45482.32107</v>
      </c>
      <c r="AJ21" s="26"/>
      <c r="AK21" s="25">
        <f>AI23</f>
        <v>47557.03199</v>
      </c>
      <c r="AL21" s="25">
        <f t="shared" ref="AL21:AN21" si="64">AK23</f>
        <v>49637.96705</v>
      </c>
      <c r="AM21" s="25">
        <f t="shared" si="64"/>
        <v>51725.1449</v>
      </c>
      <c r="AN21" s="25">
        <f t="shared" si="64"/>
        <v>53818.5843</v>
      </c>
      <c r="AO21" s="26"/>
      <c r="AP21" s="25">
        <f>AN23</f>
        <v>55918.24121</v>
      </c>
      <c r="AQ21" s="25">
        <f t="shared" ref="AQ21:AS21" si="65">AP23</f>
        <v>58024.07174</v>
      </c>
      <c r="AR21" s="25">
        <f t="shared" si="65"/>
        <v>60136.03212</v>
      </c>
      <c r="AS21" s="25">
        <f t="shared" si="65"/>
        <v>62254.07873</v>
      </c>
      <c r="AT21" s="26"/>
      <c r="AU21" s="25">
        <f>AS23</f>
        <v>64378.16806</v>
      </c>
      <c r="AV21" s="25">
        <f t="shared" ref="AV21:AX21" si="66">AU23</f>
        <v>66508.25675</v>
      </c>
      <c r="AW21" s="25">
        <f t="shared" si="66"/>
        <v>68644.30159</v>
      </c>
      <c r="AX21" s="25">
        <f t="shared" si="66"/>
        <v>70786.25951</v>
      </c>
      <c r="AY21" s="24"/>
      <c r="AZ21" s="22"/>
      <c r="BA21" s="22"/>
      <c r="BB21" s="22"/>
      <c r="BC21" s="22"/>
      <c r="BD21" s="22"/>
      <c r="BE21" s="22"/>
      <c r="BF21" s="22"/>
      <c r="BG21" s="22"/>
      <c r="BH21" s="22"/>
      <c r="BI21" s="22"/>
      <c r="BJ21" s="22"/>
      <c r="BK21" s="22"/>
      <c r="BL21" s="22"/>
      <c r="BM21" s="22"/>
      <c r="BN21" s="22"/>
      <c r="BO21" s="22"/>
      <c r="BP21" s="22"/>
      <c r="BQ21" s="22"/>
      <c r="BR21" s="22"/>
      <c r="BS21" s="22"/>
    </row>
    <row r="22" ht="15.75" customHeight="1">
      <c r="A22" s="14" t="s">
        <v>113</v>
      </c>
      <c r="B22" s="22"/>
      <c r="C22" s="22"/>
      <c r="D22" s="22"/>
      <c r="E22" s="22"/>
      <c r="F22" s="22">
        <v>543.0</v>
      </c>
      <c r="G22" s="22">
        <v>730.0</v>
      </c>
      <c r="H22" s="22">
        <v>772.0</v>
      </c>
      <c r="I22" s="22">
        <v>870.0</v>
      </c>
      <c r="J22" s="22">
        <v>830.0</v>
      </c>
      <c r="K22" s="22">
        <v>969.0</v>
      </c>
      <c r="L22" s="22">
        <v>1186.0</v>
      </c>
      <c r="M22" s="22">
        <v>1480.0</v>
      </c>
      <c r="N22" s="22">
        <v>1524.0</v>
      </c>
      <c r="O22" s="22">
        <v>1660.0</v>
      </c>
      <c r="P22" s="22">
        <v>1607.0</v>
      </c>
      <c r="Q22" s="22">
        <v>1638.0</v>
      </c>
      <c r="R22" s="22">
        <v>1620.0</v>
      </c>
      <c r="S22" s="22">
        <v>1741.0</v>
      </c>
      <c r="T22" s="22">
        <v>1460.0</v>
      </c>
      <c r="U22" s="22">
        <v>1873.0</v>
      </c>
      <c r="V22" s="25">
        <f t="shared" ref="V22:Y22" si="67">U22*(1+0.02)</f>
        <v>1910.46</v>
      </c>
      <c r="W22" s="25">
        <f t="shared" si="67"/>
        <v>1948.6692</v>
      </c>
      <c r="X22" s="25">
        <f t="shared" si="67"/>
        <v>1987.642584</v>
      </c>
      <c r="Y22" s="25">
        <f t="shared" si="67"/>
        <v>2027.395436</v>
      </c>
      <c r="Z22" s="26"/>
      <c r="AA22" s="25">
        <f>Y22*(1.02)</f>
        <v>2067.943344</v>
      </c>
      <c r="AB22" s="25">
        <f>AA22*(1.02)</f>
        <v>2109.302211</v>
      </c>
      <c r="AC22" s="25">
        <f t="shared" ref="AC22:AD22" si="68">AB22*(1+C47)</f>
        <v>2111.411513</v>
      </c>
      <c r="AD22" s="25">
        <f t="shared" si="68"/>
        <v>2113.522925</v>
      </c>
      <c r="AE22" s="26"/>
      <c r="AF22" s="25">
        <f>2050*(1+E47)</f>
        <v>2056.15</v>
      </c>
      <c r="AG22" s="25">
        <f t="shared" ref="AG22:AI22" si="69">AF22*(1+F47)</f>
        <v>2062.31845</v>
      </c>
      <c r="AH22" s="25">
        <f t="shared" si="69"/>
        <v>2068.505405</v>
      </c>
      <c r="AI22" s="25">
        <f t="shared" si="69"/>
        <v>2074.710922</v>
      </c>
      <c r="AJ22" s="26"/>
      <c r="AK22" s="25">
        <f>AI22*(1+I47)</f>
        <v>2080.935054</v>
      </c>
      <c r="AL22" s="25">
        <f t="shared" ref="AL22:AN22" si="70">AK22*(1+J47)</f>
        <v>2087.177859</v>
      </c>
      <c r="AM22" s="25">
        <f t="shared" si="70"/>
        <v>2093.439393</v>
      </c>
      <c r="AN22" s="25">
        <f t="shared" si="70"/>
        <v>2099.656908</v>
      </c>
      <c r="AO22" s="26"/>
      <c r="AP22" s="25">
        <f>AN22*(1+M47)</f>
        <v>2105.830529</v>
      </c>
      <c r="AQ22" s="25">
        <f t="shared" ref="AQ22:AS22" si="71">AP22*(1+N47)</f>
        <v>2111.960385</v>
      </c>
      <c r="AR22" s="25">
        <f t="shared" si="71"/>
        <v>2118.046607</v>
      </c>
      <c r="AS22" s="25">
        <f t="shared" si="71"/>
        <v>2124.089331</v>
      </c>
      <c r="AT22" s="26"/>
      <c r="AU22" s="25">
        <f>AS22*(1+Q47)</f>
        <v>2130.088695</v>
      </c>
      <c r="AV22" s="25">
        <f t="shared" ref="AV22:AX22" si="72">AU22*(1+R47)</f>
        <v>2136.04484</v>
      </c>
      <c r="AW22" s="25">
        <f t="shared" si="72"/>
        <v>2141.957912</v>
      </c>
      <c r="AX22" s="25">
        <f t="shared" si="72"/>
        <v>2147.828059</v>
      </c>
      <c r="AY22" s="24"/>
      <c r="AZ22" s="22"/>
      <c r="BA22" s="22"/>
      <c r="BB22" s="22"/>
      <c r="BC22" s="22"/>
      <c r="BD22" s="22"/>
      <c r="BE22" s="22"/>
      <c r="BF22" s="22"/>
      <c r="BG22" s="22"/>
      <c r="BH22" s="22"/>
      <c r="BI22" s="22"/>
      <c r="BJ22" s="22"/>
      <c r="BK22" s="22"/>
      <c r="BL22" s="22"/>
      <c r="BM22" s="22"/>
      <c r="BN22" s="22"/>
      <c r="BO22" s="22"/>
      <c r="BP22" s="22"/>
      <c r="BQ22" s="22"/>
      <c r="BR22" s="22"/>
      <c r="BS22" s="22"/>
    </row>
    <row r="23" ht="15.75" customHeight="1">
      <c r="A23" s="13" t="s">
        <v>8</v>
      </c>
      <c r="B23" s="13"/>
      <c r="C23" s="13"/>
      <c r="D23" s="13"/>
      <c r="E23" s="13"/>
      <c r="F23" s="13">
        <f t="shared" ref="F23:U23" si="73">sum(F21:F22)</f>
        <v>3059</v>
      </c>
      <c r="G23" s="13">
        <f t="shared" si="73"/>
        <v>3789</v>
      </c>
      <c r="H23" s="13">
        <f t="shared" si="73"/>
        <v>4561</v>
      </c>
      <c r="I23" s="13">
        <f t="shared" si="73"/>
        <v>5431</v>
      </c>
      <c r="J23" s="13">
        <f t="shared" si="73"/>
        <v>6261</v>
      </c>
      <c r="K23" s="13">
        <f t="shared" si="73"/>
        <v>7230</v>
      </c>
      <c r="L23" s="13">
        <f t="shared" si="73"/>
        <v>8416</v>
      </c>
      <c r="M23" s="13">
        <f t="shared" si="73"/>
        <v>9896</v>
      </c>
      <c r="N23" s="13">
        <f t="shared" si="73"/>
        <v>11420</v>
      </c>
      <c r="O23" s="13">
        <f t="shared" si="73"/>
        <v>13080</v>
      </c>
      <c r="P23" s="13">
        <f t="shared" si="73"/>
        <v>14687</v>
      </c>
      <c r="Q23" s="13">
        <f t="shared" si="73"/>
        <v>16325</v>
      </c>
      <c r="R23" s="13">
        <f t="shared" si="73"/>
        <v>17945</v>
      </c>
      <c r="S23" s="13">
        <f t="shared" si="73"/>
        <v>19686</v>
      </c>
      <c r="T23" s="13">
        <f t="shared" si="73"/>
        <v>21146</v>
      </c>
      <c r="U23" s="13">
        <f t="shared" si="73"/>
        <v>23019</v>
      </c>
      <c r="V23" s="13">
        <f t="shared" ref="V23:Y23" si="74">V21+V22</f>
        <v>24929.46</v>
      </c>
      <c r="W23" s="13">
        <f t="shared" si="74"/>
        <v>26878.1292</v>
      </c>
      <c r="X23" s="13">
        <f t="shared" si="74"/>
        <v>28865.77178</v>
      </c>
      <c r="Y23" s="13">
        <f t="shared" si="74"/>
        <v>30893.16722</v>
      </c>
      <c r="Z23" s="44"/>
      <c r="AA23" s="13">
        <f t="shared" ref="AA23:AD23" si="75">AA21+AA22</f>
        <v>32961.11056</v>
      </c>
      <c r="AB23" s="13">
        <f t="shared" si="75"/>
        <v>35070.41278</v>
      </c>
      <c r="AC23" s="13">
        <f t="shared" si="75"/>
        <v>37181.82429</v>
      </c>
      <c r="AD23" s="13">
        <f t="shared" si="75"/>
        <v>39295.34721</v>
      </c>
      <c r="AE23" s="44"/>
      <c r="AF23" s="13">
        <f t="shared" ref="AF23:AI23" si="76">AF21+AF22</f>
        <v>41351.49721</v>
      </c>
      <c r="AG23" s="13">
        <f t="shared" si="76"/>
        <v>43413.81566</v>
      </c>
      <c r="AH23" s="13">
        <f t="shared" si="76"/>
        <v>45482.32107</v>
      </c>
      <c r="AI23" s="13">
        <f t="shared" si="76"/>
        <v>47557.03199</v>
      </c>
      <c r="AJ23" s="44"/>
      <c r="AK23" s="13">
        <f t="shared" ref="AK23:AN23" si="77">AK21+AK22</f>
        <v>49637.96705</v>
      </c>
      <c r="AL23" s="13">
        <f t="shared" si="77"/>
        <v>51725.1449</v>
      </c>
      <c r="AM23" s="13">
        <f t="shared" si="77"/>
        <v>53818.5843</v>
      </c>
      <c r="AN23" s="13">
        <f t="shared" si="77"/>
        <v>55918.24121</v>
      </c>
      <c r="AO23" s="44"/>
      <c r="AP23" s="13">
        <f t="shared" ref="AP23:AS23" si="78">AP21+AP22</f>
        <v>58024.07174</v>
      </c>
      <c r="AQ23" s="13">
        <f t="shared" si="78"/>
        <v>60136.03212</v>
      </c>
      <c r="AR23" s="13">
        <f t="shared" si="78"/>
        <v>62254.07873</v>
      </c>
      <c r="AS23" s="13">
        <f t="shared" si="78"/>
        <v>64378.16806</v>
      </c>
      <c r="AT23" s="44"/>
      <c r="AU23" s="13">
        <f t="shared" ref="AU23:AX23" si="79">AU21+AU22</f>
        <v>66508.25675</v>
      </c>
      <c r="AV23" s="13">
        <f t="shared" si="79"/>
        <v>68644.30159</v>
      </c>
      <c r="AW23" s="13">
        <f t="shared" si="79"/>
        <v>70786.25951</v>
      </c>
      <c r="AX23" s="13">
        <f t="shared" si="79"/>
        <v>72934.08756</v>
      </c>
      <c r="AY23" s="44"/>
      <c r="AZ23" s="13"/>
      <c r="BA23" s="13"/>
      <c r="BB23" s="13"/>
      <c r="BC23" s="13"/>
      <c r="BD23" s="13"/>
      <c r="BE23" s="13"/>
      <c r="BF23" s="13"/>
      <c r="BG23" s="13"/>
      <c r="BH23" s="13"/>
      <c r="BI23" s="13"/>
      <c r="BJ23" s="13"/>
      <c r="BK23" s="13"/>
      <c r="BL23" s="13"/>
      <c r="BM23" s="13"/>
      <c r="BN23" s="13"/>
      <c r="BO23" s="13"/>
      <c r="BP23" s="13"/>
      <c r="BQ23" s="13"/>
      <c r="BR23" s="13"/>
      <c r="BS23" s="13"/>
    </row>
    <row r="24" ht="15.75" customHeight="1">
      <c r="A24" s="45" t="s">
        <v>114</v>
      </c>
      <c r="B24" s="46"/>
      <c r="C24" s="46"/>
      <c r="D24" s="46"/>
      <c r="E24" s="46"/>
      <c r="F24" s="46"/>
      <c r="G24" s="47">
        <f t="shared" ref="G24:U24" si="80">G23/F23-1</f>
        <v>0.2386400785</v>
      </c>
      <c r="H24" s="47">
        <f t="shared" si="80"/>
        <v>0.2037476907</v>
      </c>
      <c r="I24" s="47">
        <f t="shared" si="80"/>
        <v>0.1907476431</v>
      </c>
      <c r="J24" s="47">
        <f t="shared" si="80"/>
        <v>0.1528263672</v>
      </c>
      <c r="K24" s="47">
        <f t="shared" si="80"/>
        <v>0.154767609</v>
      </c>
      <c r="L24" s="47">
        <f t="shared" si="80"/>
        <v>0.1640387275</v>
      </c>
      <c r="M24" s="47">
        <f t="shared" si="80"/>
        <v>0.1758555133</v>
      </c>
      <c r="N24" s="47">
        <f t="shared" si="80"/>
        <v>0.1540016168</v>
      </c>
      <c r="O24" s="47">
        <f t="shared" si="80"/>
        <v>0.1453590193</v>
      </c>
      <c r="P24" s="47">
        <f t="shared" si="80"/>
        <v>0.1228593272</v>
      </c>
      <c r="Q24" s="47">
        <f t="shared" si="80"/>
        <v>0.1115272009</v>
      </c>
      <c r="R24" s="47">
        <f t="shared" si="80"/>
        <v>0.09923430322</v>
      </c>
      <c r="S24" s="47">
        <f t="shared" si="80"/>
        <v>0.09701866815</v>
      </c>
      <c r="T24" s="47">
        <f t="shared" si="80"/>
        <v>0.07416438078</v>
      </c>
      <c r="U24" s="47">
        <f t="shared" si="80"/>
        <v>0.08857467133</v>
      </c>
      <c r="V24" s="47">
        <f t="shared" ref="V24:Y24" si="81">average(R24:U24)</f>
        <v>0.08974800587</v>
      </c>
      <c r="W24" s="47">
        <f t="shared" si="81"/>
        <v>0.08737643153</v>
      </c>
      <c r="X24" s="47">
        <f t="shared" si="81"/>
        <v>0.08496587238</v>
      </c>
      <c r="Y24" s="47">
        <f t="shared" si="81"/>
        <v>0.08766624528</v>
      </c>
      <c r="Z24" s="15"/>
      <c r="AA24" s="47">
        <f>average(V24:Y24)</f>
        <v>0.08743913877</v>
      </c>
      <c r="AB24" s="47">
        <f>average(W24:AA24)</f>
        <v>0.08686192199</v>
      </c>
      <c r="AC24" s="47">
        <f t="shared" ref="AC24:AD24" si="82">AC23/AB23-1</f>
        <v>0.06020492336</v>
      </c>
      <c r="AD24" s="47">
        <f t="shared" si="82"/>
        <v>0.05684290552</v>
      </c>
      <c r="AE24" s="37">
        <f>AD23/Y23-1</f>
        <v>0.2719753509</v>
      </c>
      <c r="AF24" s="47">
        <f>AF23/AD23-1</f>
        <v>0.05232553332</v>
      </c>
      <c r="AG24" s="47">
        <f t="shared" ref="AG24:AI24" si="83">AG23/AF23-1</f>
        <v>0.04987288463</v>
      </c>
      <c r="AH24" s="47">
        <f t="shared" si="83"/>
        <v>0.04764624748</v>
      </c>
      <c r="AI24" s="47">
        <f t="shared" si="83"/>
        <v>0.04561576614</v>
      </c>
      <c r="AJ24" s="37">
        <f>AI23/AD23-1</f>
        <v>0.210245878</v>
      </c>
      <c r="AK24" s="47">
        <f>AK23/AI23-1</f>
        <v>0.04375662162</v>
      </c>
      <c r="AL24" s="47">
        <f t="shared" ref="AL24:AN24" si="84">AL23/AK23-1</f>
        <v>0.04204801251</v>
      </c>
      <c r="AM24" s="47">
        <f t="shared" si="84"/>
        <v>0.04047237368</v>
      </c>
      <c r="AN24" s="47">
        <f t="shared" si="84"/>
        <v>0.03901360349</v>
      </c>
      <c r="AO24" s="37">
        <f>AN23/AI23-1</f>
        <v>0.1758143615</v>
      </c>
      <c r="AP24" s="47">
        <f>AP23/AN23-1</f>
        <v>0.03765909807</v>
      </c>
      <c r="AQ24" s="47">
        <f t="shared" ref="AQ24:AS24" si="85">AQ23/AP23-1</f>
        <v>0.03639800383</v>
      </c>
      <c r="AR24" s="47">
        <f t="shared" si="85"/>
        <v>0.03522092384</v>
      </c>
      <c r="AS24" s="47">
        <f t="shared" si="85"/>
        <v>0.03411968138</v>
      </c>
      <c r="AT24" s="37">
        <f>AS23/AN23-1</f>
        <v>0.151291004</v>
      </c>
      <c r="AU24" s="47">
        <f>AU23/AS23-1</f>
        <v>0.03308712812</v>
      </c>
      <c r="AV24" s="47">
        <f t="shared" ref="AV24:AX24" si="86">AV23/AU23-1</f>
        <v>0.03211698734</v>
      </c>
      <c r="AW24" s="47">
        <f t="shared" si="86"/>
        <v>0.03120372504</v>
      </c>
      <c r="AX24" s="47">
        <f t="shared" si="86"/>
        <v>0.03034244321</v>
      </c>
      <c r="AY24" s="37">
        <f>AX23/AS23-1</f>
        <v>0.1329009471</v>
      </c>
      <c r="AZ24" s="45"/>
      <c r="BA24" s="45"/>
      <c r="BB24" s="45"/>
      <c r="BC24" s="45"/>
      <c r="BD24" s="45"/>
      <c r="BE24" s="45"/>
      <c r="BF24" s="45"/>
      <c r="BG24" s="45"/>
      <c r="BH24" s="45"/>
      <c r="BI24" s="45"/>
      <c r="BJ24" s="45"/>
      <c r="BK24" s="45"/>
      <c r="BL24" s="45"/>
      <c r="BM24" s="45"/>
      <c r="BN24" s="45"/>
      <c r="BO24" s="45"/>
      <c r="BP24" s="45"/>
      <c r="BQ24" s="45"/>
      <c r="BR24" s="45"/>
      <c r="BS24" s="45"/>
    </row>
    <row r="25" ht="15.75" customHeight="1">
      <c r="A25" s="3" t="s">
        <v>115</v>
      </c>
      <c r="B25" s="14"/>
      <c r="C25" s="14"/>
      <c r="D25" s="14"/>
      <c r="E25" s="14"/>
      <c r="F25" s="14"/>
      <c r="G25" s="2">
        <f t="shared" ref="G25:Y25" si="87">G22/F22-1</f>
        <v>0.3443830571</v>
      </c>
      <c r="H25" s="2">
        <f t="shared" si="87"/>
        <v>0.05753424658</v>
      </c>
      <c r="I25" s="2">
        <f t="shared" si="87"/>
        <v>0.1269430052</v>
      </c>
      <c r="J25" s="2">
        <f t="shared" si="87"/>
        <v>-0.04597701149</v>
      </c>
      <c r="K25" s="2">
        <f t="shared" si="87"/>
        <v>0.1674698795</v>
      </c>
      <c r="L25" s="2">
        <f t="shared" si="87"/>
        <v>0.2239422085</v>
      </c>
      <c r="M25" s="2">
        <f t="shared" si="87"/>
        <v>0.2478920742</v>
      </c>
      <c r="N25" s="2">
        <f t="shared" si="87"/>
        <v>0.02972972973</v>
      </c>
      <c r="O25" s="2">
        <f t="shared" si="87"/>
        <v>0.08923884514</v>
      </c>
      <c r="P25" s="2">
        <f t="shared" si="87"/>
        <v>-0.03192771084</v>
      </c>
      <c r="Q25" s="2">
        <f t="shared" si="87"/>
        <v>0.01929060361</v>
      </c>
      <c r="R25" s="2">
        <f t="shared" si="87"/>
        <v>-0.01098901099</v>
      </c>
      <c r="S25" s="2">
        <f t="shared" si="87"/>
        <v>0.07469135802</v>
      </c>
      <c r="T25" s="2">
        <f t="shared" si="87"/>
        <v>-0.1614014934</v>
      </c>
      <c r="U25" s="2">
        <f t="shared" si="87"/>
        <v>0.2828767123</v>
      </c>
      <c r="V25" s="2">
        <f t="shared" si="87"/>
        <v>0.02</v>
      </c>
      <c r="W25" s="2">
        <f t="shared" si="87"/>
        <v>0.02</v>
      </c>
      <c r="X25" s="2">
        <f t="shared" si="87"/>
        <v>0.02</v>
      </c>
      <c r="Y25" s="2">
        <f t="shared" si="87"/>
        <v>0.02</v>
      </c>
      <c r="Z25" s="37"/>
      <c r="AA25" s="2">
        <f>AA22/Y22-1</f>
        <v>0.02</v>
      </c>
      <c r="AB25" s="2">
        <f t="shared" ref="AB25:AD25" si="88">AB22/AA22-1</f>
        <v>0.02</v>
      </c>
      <c r="AC25" s="2">
        <f t="shared" si="88"/>
        <v>0.001</v>
      </c>
      <c r="AD25" s="2">
        <f t="shared" si="88"/>
        <v>0.001</v>
      </c>
      <c r="AE25" s="37"/>
      <c r="AF25" s="2">
        <f>AF22/AD22-1</f>
        <v>-0.02714563648</v>
      </c>
      <c r="AG25" s="2">
        <f t="shared" ref="AG25:AI25" si="89">AG22/AF22-1</f>
        <v>0.003</v>
      </c>
      <c r="AH25" s="2">
        <f t="shared" si="89"/>
        <v>0.003</v>
      </c>
      <c r="AI25" s="2">
        <f t="shared" si="89"/>
        <v>0.003</v>
      </c>
      <c r="AJ25" s="37"/>
      <c r="AK25" s="2">
        <f>AK22/AI22-1</f>
        <v>0.003</v>
      </c>
      <c r="AL25" s="2">
        <f t="shared" ref="AL25:AN25" si="90">AL22/AK22-1</f>
        <v>0.003</v>
      </c>
      <c r="AM25" s="2">
        <f t="shared" si="90"/>
        <v>0.003</v>
      </c>
      <c r="AN25" s="2">
        <f t="shared" si="90"/>
        <v>0.00297</v>
      </c>
      <c r="AO25" s="37"/>
      <c r="AP25" s="2">
        <f>AP22/AN22-1</f>
        <v>0.0029403</v>
      </c>
      <c r="AQ25" s="2">
        <f t="shared" ref="AQ25:AS25" si="91">AQ22/AP22-1</f>
        <v>0.002910897</v>
      </c>
      <c r="AR25" s="2">
        <f t="shared" si="91"/>
        <v>0.00288178803</v>
      </c>
      <c r="AS25" s="2">
        <f t="shared" si="91"/>
        <v>0.00285297015</v>
      </c>
      <c r="AT25" s="37"/>
      <c r="AU25" s="2">
        <f>AU22/AS22-1</f>
        <v>0.002824440448</v>
      </c>
      <c r="AV25" s="2">
        <f t="shared" ref="AV25:AX25" si="92">AV22/AU22-1</f>
        <v>0.002796196044</v>
      </c>
      <c r="AW25" s="2">
        <f t="shared" si="92"/>
        <v>0.002768234083</v>
      </c>
      <c r="AX25" s="2">
        <f t="shared" si="92"/>
        <v>0.002740551742</v>
      </c>
      <c r="AY25" s="15"/>
    </row>
    <row r="26" ht="15.75" customHeight="1">
      <c r="A26" s="1"/>
      <c r="B26" s="14"/>
      <c r="C26" s="14"/>
      <c r="D26" s="14"/>
      <c r="E26" s="14"/>
      <c r="F26" s="14"/>
      <c r="G26" s="14"/>
      <c r="Z26" s="15"/>
      <c r="AE26" s="15"/>
      <c r="AJ26" s="15"/>
      <c r="AO26" s="15"/>
      <c r="AT26" s="15"/>
      <c r="AY26" s="15"/>
    </row>
    <row r="27" ht="15.75" customHeight="1">
      <c r="A27" s="1" t="s">
        <v>116</v>
      </c>
      <c r="D27" s="14"/>
      <c r="E27" s="14"/>
      <c r="F27" s="14"/>
      <c r="G27" s="14"/>
      <c r="V27" s="1" t="s">
        <v>111</v>
      </c>
      <c r="Z27" s="15"/>
      <c r="AC27" s="48" t="s">
        <v>47</v>
      </c>
      <c r="AE27" s="15"/>
      <c r="AJ27" s="15"/>
      <c r="AO27" s="15"/>
      <c r="AT27" s="15"/>
      <c r="AY27" s="15"/>
    </row>
    <row r="28" ht="15.75" customHeight="1">
      <c r="A28" s="1"/>
      <c r="B28" s="13" t="s">
        <v>110</v>
      </c>
      <c r="C28" s="13">
        <v>1.0</v>
      </c>
      <c r="D28" s="14"/>
      <c r="E28" s="14"/>
      <c r="F28" s="14"/>
      <c r="G28" s="14"/>
      <c r="V28" s="1"/>
      <c r="Z28" s="15"/>
      <c r="AC28" s="48"/>
      <c r="AE28" s="15"/>
      <c r="AJ28" s="15"/>
      <c r="AO28" s="15"/>
      <c r="AT28" s="15"/>
      <c r="AY28" s="15"/>
    </row>
    <row r="29" ht="15.75" customHeight="1">
      <c r="A29" s="3" t="s">
        <v>117</v>
      </c>
      <c r="B29" s="14"/>
      <c r="C29" s="14"/>
      <c r="D29" s="14"/>
      <c r="E29" s="14"/>
      <c r="F29" s="14">
        <f t="shared" ref="F29:Y29" si="93">F4/F23</f>
        <v>28.11049363</v>
      </c>
      <c r="G29" s="14">
        <f t="shared" si="93"/>
        <v>25.75217736</v>
      </c>
      <c r="H29" s="14">
        <f t="shared" si="93"/>
        <v>25.04297303</v>
      </c>
      <c r="I29" s="14">
        <f t="shared" si="93"/>
        <v>25.50856196</v>
      </c>
      <c r="J29" s="14">
        <f t="shared" si="93"/>
        <v>25.90991854</v>
      </c>
      <c r="K29" s="14">
        <f t="shared" si="93"/>
        <v>25.48492393</v>
      </c>
      <c r="L29" s="14">
        <f t="shared" si="93"/>
        <v>25.37191065</v>
      </c>
      <c r="M29" s="14">
        <f t="shared" si="93"/>
        <v>24.72332255</v>
      </c>
      <c r="N29" s="14">
        <f t="shared" si="93"/>
        <v>24.62591944</v>
      </c>
      <c r="O29" s="14">
        <f t="shared" si="93"/>
        <v>24.14648318</v>
      </c>
      <c r="P29" s="14">
        <f t="shared" si="93"/>
        <v>24.30925308</v>
      </c>
      <c r="Q29" s="14">
        <f t="shared" si="93"/>
        <v>24.8357121</v>
      </c>
      <c r="R29" s="14">
        <f t="shared" si="93"/>
        <v>25.62396211</v>
      </c>
      <c r="S29" s="14">
        <f t="shared" si="93"/>
        <v>25.71365437</v>
      </c>
      <c r="T29" s="14">
        <f t="shared" si="93"/>
        <v>25.88555755</v>
      </c>
      <c r="U29" s="14">
        <f t="shared" si="93"/>
        <v>25.98996481</v>
      </c>
      <c r="V29" s="14">
        <f t="shared" si="93"/>
        <v>26.12070217</v>
      </c>
      <c r="W29" s="14">
        <f t="shared" si="93"/>
        <v>25.6703878</v>
      </c>
      <c r="X29" s="14">
        <f t="shared" si="93"/>
        <v>25.40943667</v>
      </c>
      <c r="Y29" s="14">
        <f t="shared" si="93"/>
        <v>25.76449978</v>
      </c>
      <c r="Z29" s="49"/>
      <c r="AA29" s="14">
        <f t="shared" ref="AA29:AB29" si="94">AA4/AA23</f>
        <v>26.46063755</v>
      </c>
      <c r="AB29" s="14">
        <f t="shared" si="94"/>
        <v>26.18323901</v>
      </c>
      <c r="AC29" s="14">
        <f t="shared" ref="AC29:AD29" si="95">AB29*(1+C55)</f>
        <v>25.65957423</v>
      </c>
      <c r="AD29" s="14">
        <f t="shared" si="95"/>
        <v>25.14638275</v>
      </c>
      <c r="AE29" s="49"/>
      <c r="AF29" s="14">
        <f>AD29*(1+E55)</f>
        <v>25.71217636</v>
      </c>
      <c r="AG29" s="14">
        <f t="shared" ref="AG29:AI29" si="96">AF29*(1+F55)</f>
        <v>26.29070033</v>
      </c>
      <c r="AH29" s="14">
        <f t="shared" si="96"/>
        <v>26.88224109</v>
      </c>
      <c r="AI29" s="14">
        <f t="shared" si="96"/>
        <v>27.48709151</v>
      </c>
      <c r="AJ29" s="49"/>
      <c r="AK29" s="50">
        <f>AI29*(1+I55)</f>
        <v>28.10555107</v>
      </c>
      <c r="AL29" s="50">
        <f t="shared" ref="AL29:AN29" si="97">AK29*(1+J55)</f>
        <v>28.73792597</v>
      </c>
      <c r="AM29" s="50">
        <f t="shared" si="97"/>
        <v>29.3845293</v>
      </c>
      <c r="AN29" s="50">
        <f t="shared" si="97"/>
        <v>30.04568121</v>
      </c>
      <c r="AO29" s="49"/>
      <c r="AP29" s="50">
        <f>AN29*(1+M55)</f>
        <v>30.72170904</v>
      </c>
      <c r="AQ29" s="50">
        <f t="shared" ref="AQ29:AS29" si="98">AP29*(1+N55)</f>
        <v>31.41294749</v>
      </c>
      <c r="AR29" s="50">
        <f t="shared" si="98"/>
        <v>32.11973881</v>
      </c>
      <c r="AS29" s="50">
        <f t="shared" si="98"/>
        <v>32.84243293</v>
      </c>
      <c r="AT29" s="49"/>
      <c r="AU29" s="50">
        <f>AS29*(1+Q55)</f>
        <v>33.41717551</v>
      </c>
      <c r="AV29" s="50">
        <f t="shared" ref="AV29:AX29" si="99">AU29*(1+R55)</f>
        <v>34.00197608</v>
      </c>
      <c r="AW29" s="50">
        <f t="shared" si="99"/>
        <v>34.59701066</v>
      </c>
      <c r="AX29" s="50">
        <f t="shared" si="99"/>
        <v>35.20245835</v>
      </c>
      <c r="AY29" s="15"/>
    </row>
    <row r="30" ht="15.75" customHeight="1">
      <c r="A30" s="51" t="s">
        <v>118</v>
      </c>
      <c r="B30" s="27"/>
      <c r="C30" s="27"/>
      <c r="D30" s="27"/>
      <c r="E30" s="27"/>
      <c r="F30" s="27"/>
      <c r="G30" s="52">
        <f t="shared" ref="G30:Y30" si="100">G29/F29-1</f>
        <v>-0.08389451645</v>
      </c>
      <c r="H30" s="52">
        <f t="shared" si="100"/>
        <v>-0.02753958679</v>
      </c>
      <c r="I30" s="52">
        <f t="shared" si="100"/>
        <v>0.01859159958</v>
      </c>
      <c r="J30" s="52">
        <f t="shared" si="100"/>
        <v>0.01573419093</v>
      </c>
      <c r="K30" s="52">
        <f t="shared" si="100"/>
        <v>-0.01640277697</v>
      </c>
      <c r="L30" s="52">
        <f t="shared" si="100"/>
        <v>-0.004434515167</v>
      </c>
      <c r="M30" s="52">
        <f t="shared" si="100"/>
        <v>-0.02556323412</v>
      </c>
      <c r="N30" s="52">
        <f t="shared" si="100"/>
        <v>-0.003939725932</v>
      </c>
      <c r="O30" s="52">
        <f t="shared" si="100"/>
        <v>-0.01946876584</v>
      </c>
      <c r="P30" s="52">
        <f t="shared" si="100"/>
        <v>0.006740936115</v>
      </c>
      <c r="Q30" s="52">
        <f t="shared" si="100"/>
        <v>0.02165673356</v>
      </c>
      <c r="R30" s="52">
        <f t="shared" si="100"/>
        <v>0.03173857087</v>
      </c>
      <c r="S30" s="52">
        <f t="shared" si="100"/>
        <v>0.003500327813</v>
      </c>
      <c r="T30" s="52">
        <f t="shared" si="100"/>
        <v>0.00668528775</v>
      </c>
      <c r="U30" s="52">
        <f t="shared" si="100"/>
        <v>0.004033417446</v>
      </c>
      <c r="V30" s="52">
        <f t="shared" si="100"/>
        <v>0.0050303016</v>
      </c>
      <c r="W30" s="52">
        <f t="shared" si="100"/>
        <v>-0.01723974978</v>
      </c>
      <c r="X30" s="52">
        <f t="shared" si="100"/>
        <v>-0.01016545361</v>
      </c>
      <c r="Y30" s="52">
        <f t="shared" si="100"/>
        <v>0.01397367113</v>
      </c>
      <c r="Z30" s="37"/>
      <c r="AA30" s="52">
        <f>AA29/Y29-1</f>
        <v>0.02701926219</v>
      </c>
      <c r="AB30" s="52">
        <f t="shared" ref="AB30:AD30" si="101">AB29/AA29-1</f>
        <v>-0.01048344128</v>
      </c>
      <c r="AC30" s="52">
        <f t="shared" si="101"/>
        <v>-0.02</v>
      </c>
      <c r="AD30" s="52">
        <f t="shared" si="101"/>
        <v>-0.02</v>
      </c>
      <c r="AE30" s="37">
        <f>AD29/Y29-1</f>
        <v>-0.02399103556</v>
      </c>
      <c r="AF30" s="52">
        <f>AF29/AD29-1</f>
        <v>0.0225</v>
      </c>
      <c r="AG30" s="52">
        <f t="shared" ref="AG30:AI30" si="102">AG29/AF29-1</f>
        <v>0.0225</v>
      </c>
      <c r="AH30" s="52">
        <f t="shared" si="102"/>
        <v>0.0225</v>
      </c>
      <c r="AI30" s="52">
        <f t="shared" si="102"/>
        <v>0.0225</v>
      </c>
      <c r="AJ30" s="37">
        <f>AI29/AD29-1</f>
        <v>0.09308331879</v>
      </c>
      <c r="AK30" s="52">
        <f>AK29/AI29-1</f>
        <v>0.0225</v>
      </c>
      <c r="AL30" s="52">
        <f t="shared" ref="AL30:AN30" si="103">AL29/AK29-1</f>
        <v>0.0225</v>
      </c>
      <c r="AM30" s="52">
        <f t="shared" si="103"/>
        <v>0.0225</v>
      </c>
      <c r="AN30" s="52">
        <f t="shared" si="103"/>
        <v>0.0225</v>
      </c>
      <c r="AO30" s="37">
        <f>AN29/AI29-1</f>
        <v>0.09308331879</v>
      </c>
      <c r="AP30" s="52">
        <f>AP29/AN29-1</f>
        <v>0.0225</v>
      </c>
      <c r="AQ30" s="52">
        <f t="shared" ref="AQ30:AS30" si="104">AQ29/AP29-1</f>
        <v>0.0225</v>
      </c>
      <c r="AR30" s="52">
        <f t="shared" si="104"/>
        <v>0.0225</v>
      </c>
      <c r="AS30" s="52">
        <f t="shared" si="104"/>
        <v>0.0225</v>
      </c>
      <c r="AT30" s="37">
        <f>AS29/AN29-1</f>
        <v>0.09308331879</v>
      </c>
      <c r="AU30" s="52">
        <f>AU29/AS29-1</f>
        <v>0.0175</v>
      </c>
      <c r="AV30" s="52">
        <f t="shared" ref="AV30:AX30" si="105">AV29/AU29-1</f>
        <v>0.0175</v>
      </c>
      <c r="AW30" s="52">
        <f t="shared" si="105"/>
        <v>0.0175</v>
      </c>
      <c r="AX30" s="52">
        <f t="shared" si="105"/>
        <v>0.0175</v>
      </c>
      <c r="AY30" s="37">
        <f>AX29/AS29-1</f>
        <v>0.07185903129</v>
      </c>
      <c r="AZ30" s="51"/>
      <c r="BA30" s="51"/>
      <c r="BB30" s="51"/>
      <c r="BC30" s="51"/>
      <c r="BD30" s="51"/>
      <c r="BE30" s="51"/>
      <c r="BF30" s="51"/>
      <c r="BG30" s="51"/>
      <c r="BH30" s="51"/>
      <c r="BI30" s="51"/>
      <c r="BJ30" s="51"/>
      <c r="BK30" s="51"/>
      <c r="BL30" s="51"/>
      <c r="BM30" s="51"/>
      <c r="BN30" s="51"/>
      <c r="BO30" s="51"/>
      <c r="BP30" s="51"/>
      <c r="BQ30" s="51"/>
      <c r="BR30" s="51"/>
      <c r="BS30" s="51"/>
    </row>
    <row r="31" ht="15.75" customHeight="1">
      <c r="A31" s="3"/>
      <c r="B31" s="53" t="s">
        <v>110</v>
      </c>
      <c r="C31" s="54">
        <v>1.0</v>
      </c>
      <c r="D31" s="14"/>
      <c r="E31" s="14"/>
      <c r="F31" s="14"/>
      <c r="G31" s="2"/>
      <c r="H31" s="2"/>
      <c r="I31" s="2"/>
      <c r="J31" s="2"/>
      <c r="K31" s="2"/>
      <c r="L31" s="2"/>
      <c r="M31" s="2"/>
      <c r="N31" s="2"/>
      <c r="O31" s="2"/>
      <c r="P31" s="2"/>
      <c r="Q31" s="2"/>
      <c r="R31" s="2"/>
      <c r="S31" s="2"/>
      <c r="T31" s="2"/>
      <c r="U31" s="2"/>
      <c r="V31" s="2"/>
      <c r="W31" s="2"/>
      <c r="X31" s="2"/>
      <c r="Y31" s="2"/>
      <c r="Z31" s="37"/>
      <c r="AA31" s="2"/>
      <c r="AB31" s="2"/>
      <c r="AE31" s="15"/>
      <c r="AJ31" s="15"/>
      <c r="AO31" s="15"/>
      <c r="AT31" s="15"/>
      <c r="AY31" s="15"/>
    </row>
    <row r="32" ht="15.75" customHeight="1">
      <c r="A32" s="3" t="s">
        <v>119</v>
      </c>
      <c r="B32" s="14"/>
      <c r="C32" s="14"/>
      <c r="D32" s="14"/>
      <c r="E32" s="14"/>
      <c r="F32" s="14">
        <f t="shared" ref="F32:Y32" si="106">F17/F23</f>
        <v>119.3200392</v>
      </c>
      <c r="G32" s="14">
        <f t="shared" si="106"/>
        <v>111.9028767</v>
      </c>
      <c r="H32" s="14">
        <f t="shared" si="106"/>
        <v>110.0635825</v>
      </c>
      <c r="I32" s="14">
        <f t="shared" si="106"/>
        <v>110.6610201</v>
      </c>
      <c r="J32" s="14">
        <f t="shared" si="106"/>
        <v>109.5671618</v>
      </c>
      <c r="K32" s="14">
        <f t="shared" si="106"/>
        <v>109.4052559</v>
      </c>
      <c r="L32" s="14">
        <f t="shared" si="106"/>
        <v>107.7709125</v>
      </c>
      <c r="M32" s="14">
        <f t="shared" si="106"/>
        <v>106.1034762</v>
      </c>
      <c r="N32" s="14">
        <f t="shared" si="106"/>
        <v>104.2031524</v>
      </c>
      <c r="O32" s="14">
        <f t="shared" si="106"/>
        <v>102.4464832</v>
      </c>
      <c r="P32" s="14">
        <f t="shared" si="106"/>
        <v>102.8120106</v>
      </c>
      <c r="Q32" s="14">
        <f t="shared" si="106"/>
        <v>105.9724349</v>
      </c>
      <c r="R32" s="14">
        <f t="shared" si="106"/>
        <v>106.9935915</v>
      </c>
      <c r="S32" s="14">
        <f t="shared" si="106"/>
        <v>108.7066951</v>
      </c>
      <c r="T32" s="14">
        <f t="shared" si="106"/>
        <v>110.6592263</v>
      </c>
      <c r="U32" s="14">
        <f t="shared" si="106"/>
        <v>111.2124766</v>
      </c>
      <c r="V32" s="14">
        <f t="shared" si="106"/>
        <v>109.6694433</v>
      </c>
      <c r="W32" s="14">
        <f t="shared" si="106"/>
        <v>109.0105631</v>
      </c>
      <c r="X32" s="14">
        <f t="shared" si="106"/>
        <v>109.1257848</v>
      </c>
      <c r="Y32" s="14">
        <f t="shared" si="106"/>
        <v>111.1896354</v>
      </c>
      <c r="Z32" s="49"/>
      <c r="AA32" s="14">
        <f t="shared" ref="AA32:AB32" si="107">AA17/AA23</f>
        <v>110.6455437</v>
      </c>
      <c r="AB32" s="14">
        <f t="shared" si="107"/>
        <v>110.206858</v>
      </c>
      <c r="AC32" s="14">
        <f t="shared" ref="AC32:AD32" si="108">AB32*(1+C63)</f>
        <v>110.206858</v>
      </c>
      <c r="AD32" s="14">
        <f t="shared" si="108"/>
        <v>110.206858</v>
      </c>
      <c r="AE32" s="49"/>
      <c r="AF32" s="14">
        <f>AD32*(1+E63)</f>
        <v>110.206858</v>
      </c>
      <c r="AG32" s="14">
        <f t="shared" ref="AG32:AI32" si="109">AF32*(1+F63)</f>
        <v>110.206858</v>
      </c>
      <c r="AH32" s="14">
        <f t="shared" si="109"/>
        <v>110.206858</v>
      </c>
      <c r="AI32" s="14">
        <f t="shared" si="109"/>
        <v>110.206858</v>
      </c>
      <c r="AJ32" s="49"/>
      <c r="AK32" s="14">
        <f>AI32*(1+I63)</f>
        <v>110.206858</v>
      </c>
      <c r="AL32" s="14">
        <f t="shared" ref="AL32:AN32" si="110">AK32*(1+J63)</f>
        <v>110.206858</v>
      </c>
      <c r="AM32" s="14">
        <f t="shared" si="110"/>
        <v>110.206858</v>
      </c>
      <c r="AN32" s="14">
        <f t="shared" si="110"/>
        <v>110.206858</v>
      </c>
      <c r="AO32" s="49"/>
      <c r="AP32" s="14">
        <f>AN32*(1+M63)</f>
        <v>110.206858</v>
      </c>
      <c r="AQ32" s="14">
        <f t="shared" ref="AQ32:AS32" si="111">AP32*(1+N63)</f>
        <v>110.206858</v>
      </c>
      <c r="AR32" s="14">
        <f t="shared" si="111"/>
        <v>110.206858</v>
      </c>
      <c r="AS32" s="14">
        <f t="shared" si="111"/>
        <v>110.206858</v>
      </c>
      <c r="AT32" s="49"/>
      <c r="AU32" s="14">
        <f>AS32*(1+Q63)</f>
        <v>110.206858</v>
      </c>
      <c r="AV32" s="14">
        <f t="shared" ref="AV32:AX32" si="112">AU32*(1+R63)</f>
        <v>110.206858</v>
      </c>
      <c r="AW32" s="14">
        <f t="shared" si="112"/>
        <v>110.206858</v>
      </c>
      <c r="AX32" s="14">
        <f t="shared" si="112"/>
        <v>110.206858</v>
      </c>
      <c r="AY32" s="15"/>
    </row>
    <row r="33" ht="15.75" customHeight="1">
      <c r="A33" s="41" t="s">
        <v>120</v>
      </c>
      <c r="B33" s="42"/>
      <c r="C33" s="42"/>
      <c r="D33" s="42"/>
      <c r="E33" s="42"/>
      <c r="F33" s="42"/>
      <c r="G33" s="43">
        <f t="shared" ref="G33:Y33" si="113">G32/F32-1</f>
        <v>-0.06216191788</v>
      </c>
      <c r="H33" s="43">
        <f t="shared" si="113"/>
        <v>-0.01643652294</v>
      </c>
      <c r="I33" s="43">
        <f t="shared" si="113"/>
        <v>0.005428112628</v>
      </c>
      <c r="J33" s="43">
        <f t="shared" si="113"/>
        <v>-0.009884765874</v>
      </c>
      <c r="K33" s="43">
        <f t="shared" si="113"/>
        <v>-0.00147768651</v>
      </c>
      <c r="L33" s="43">
        <f t="shared" si="113"/>
        <v>-0.01493843525</v>
      </c>
      <c r="M33" s="43">
        <f t="shared" si="113"/>
        <v>-0.01547204488</v>
      </c>
      <c r="N33" s="43">
        <f t="shared" si="113"/>
        <v>-0.01791009924</v>
      </c>
      <c r="O33" s="43">
        <f t="shared" si="113"/>
        <v>-0.01685811939</v>
      </c>
      <c r="P33" s="43">
        <f t="shared" si="113"/>
        <v>0.003567984277</v>
      </c>
      <c r="Q33" s="43">
        <f t="shared" si="113"/>
        <v>0.0307398355</v>
      </c>
      <c r="R33" s="43">
        <f t="shared" si="113"/>
        <v>0.009636058799</v>
      </c>
      <c r="S33" s="43">
        <f t="shared" si="113"/>
        <v>0.01601127282</v>
      </c>
      <c r="T33" s="43">
        <f t="shared" si="113"/>
        <v>0.01796146241</v>
      </c>
      <c r="U33" s="43">
        <f t="shared" si="113"/>
        <v>0.004999585998</v>
      </c>
      <c r="V33" s="43">
        <f t="shared" si="113"/>
        <v>-0.01387464244</v>
      </c>
      <c r="W33" s="43">
        <f t="shared" si="113"/>
        <v>-0.006007873756</v>
      </c>
      <c r="X33" s="43">
        <f t="shared" si="113"/>
        <v>0.001056977169</v>
      </c>
      <c r="Y33" s="43">
        <f t="shared" si="113"/>
        <v>0.01891258434</v>
      </c>
      <c r="Z33" s="37"/>
      <c r="AA33" s="43">
        <f>AA32/Y32-1</f>
        <v>-0.004893367023</v>
      </c>
      <c r="AB33" s="43">
        <f t="shared" ref="AB33:AD33" si="114">AB32/AA32-1</f>
        <v>-0.003964784544</v>
      </c>
      <c r="AC33" s="43">
        <f t="shared" si="114"/>
        <v>0</v>
      </c>
      <c r="AD33" s="43">
        <f t="shared" si="114"/>
        <v>0</v>
      </c>
      <c r="AE33" s="37">
        <f>AD32/Y32-1</f>
        <v>-0.008838750422</v>
      </c>
      <c r="AF33" s="43">
        <f>AF32/AD32-1</f>
        <v>0</v>
      </c>
      <c r="AG33" s="43">
        <f t="shared" ref="AG33:AI33" si="115">AG32/AF32-1</f>
        <v>0</v>
      </c>
      <c r="AH33" s="43">
        <f t="shared" si="115"/>
        <v>0</v>
      </c>
      <c r="AI33" s="43">
        <f t="shared" si="115"/>
        <v>0</v>
      </c>
      <c r="AJ33" s="37">
        <f>AI32/AD32-1</f>
        <v>0</v>
      </c>
      <c r="AK33" s="43">
        <f>AK32/AI32-1</f>
        <v>0</v>
      </c>
      <c r="AL33" s="43">
        <f t="shared" ref="AL33:AN33" si="116">AL32/AK32-1</f>
        <v>0</v>
      </c>
      <c r="AM33" s="43">
        <f t="shared" si="116"/>
        <v>0</v>
      </c>
      <c r="AN33" s="43">
        <f t="shared" si="116"/>
        <v>0</v>
      </c>
      <c r="AO33" s="37">
        <f>AN32/AI32-1</f>
        <v>0</v>
      </c>
      <c r="AP33" s="43">
        <f>AP32/AN32-1</f>
        <v>0</v>
      </c>
      <c r="AQ33" s="43">
        <f t="shared" ref="AQ33:AS33" si="117">AQ32/AP32-1</f>
        <v>0</v>
      </c>
      <c r="AR33" s="43">
        <f t="shared" si="117"/>
        <v>0</v>
      </c>
      <c r="AS33" s="43">
        <f t="shared" si="117"/>
        <v>0</v>
      </c>
      <c r="AT33" s="37">
        <f>AS32/AN32-1</f>
        <v>0</v>
      </c>
      <c r="AU33" s="43">
        <f>AU32/AS32-1</f>
        <v>0</v>
      </c>
      <c r="AV33" s="43">
        <f t="shared" ref="AV33:AX33" si="118">AV32/AU32-1</f>
        <v>0</v>
      </c>
      <c r="AW33" s="43">
        <f t="shared" si="118"/>
        <v>0</v>
      </c>
      <c r="AX33" s="43">
        <f t="shared" si="118"/>
        <v>0</v>
      </c>
      <c r="AY33" s="37">
        <f>AX32/AS32-1</f>
        <v>0</v>
      </c>
      <c r="AZ33" s="41"/>
      <c r="BA33" s="41"/>
      <c r="BB33" s="41"/>
      <c r="BC33" s="41"/>
      <c r="BD33" s="41"/>
      <c r="BE33" s="41"/>
      <c r="BF33" s="41"/>
      <c r="BG33" s="41"/>
      <c r="BH33" s="41"/>
      <c r="BI33" s="41"/>
      <c r="BJ33" s="41"/>
      <c r="BK33" s="41"/>
      <c r="BL33" s="41"/>
      <c r="BM33" s="41"/>
      <c r="BN33" s="41"/>
      <c r="BO33" s="41"/>
      <c r="BP33" s="41"/>
      <c r="BQ33" s="41"/>
      <c r="BR33" s="41"/>
      <c r="BS33" s="41"/>
    </row>
    <row r="34" ht="15.75" customHeight="1">
      <c r="B34" s="14"/>
      <c r="C34" s="14"/>
      <c r="D34" s="14"/>
      <c r="E34" s="14"/>
      <c r="F34" s="14"/>
      <c r="G34" s="14"/>
      <c r="H34" s="14"/>
      <c r="I34" s="14"/>
      <c r="J34" s="14"/>
      <c r="K34" s="14"/>
      <c r="L34" s="14"/>
      <c r="M34" s="14"/>
      <c r="N34" s="14"/>
      <c r="O34" s="14"/>
      <c r="P34" s="14"/>
      <c r="Q34" s="14"/>
      <c r="R34" s="14"/>
      <c r="S34" s="14"/>
      <c r="T34" s="14"/>
      <c r="U34" s="14"/>
      <c r="Z34" s="15"/>
      <c r="AE34" s="15"/>
      <c r="AJ34" s="15"/>
      <c r="AO34" s="15"/>
      <c r="AT34" s="15"/>
      <c r="AY34" s="15"/>
    </row>
    <row r="35" ht="15.75" customHeight="1">
      <c r="B35" s="14"/>
      <c r="C35" s="14"/>
      <c r="D35" s="14"/>
      <c r="E35" s="14"/>
      <c r="F35" s="14"/>
      <c r="G35" s="14"/>
      <c r="Z35" s="15"/>
      <c r="AE35" s="15"/>
      <c r="AJ35" s="15"/>
      <c r="AO35" s="15"/>
      <c r="AT35" s="15"/>
      <c r="AY35" s="15"/>
    </row>
    <row r="36" ht="15.75" customHeight="1">
      <c r="A36" s="1"/>
      <c r="B36" s="2"/>
      <c r="D36" s="2"/>
      <c r="E36" s="2"/>
      <c r="F36" s="2"/>
      <c r="G36" s="2"/>
      <c r="H36" s="2"/>
      <c r="I36" s="2"/>
      <c r="J36" s="2"/>
      <c r="K36" s="2"/>
      <c r="L36" s="2"/>
      <c r="M36" s="2"/>
      <c r="N36" s="2"/>
      <c r="O36" s="2"/>
      <c r="P36" s="2"/>
      <c r="Q36" s="2"/>
      <c r="R36" s="2"/>
      <c r="S36" s="2"/>
      <c r="T36" s="2"/>
      <c r="U36" s="2"/>
      <c r="V36" s="2"/>
      <c r="W36" s="2"/>
      <c r="X36" s="2"/>
      <c r="Y36" s="2"/>
      <c r="Z36" s="37"/>
      <c r="AA36" s="2"/>
      <c r="AB36" s="2"/>
      <c r="AC36" s="2"/>
      <c r="AD36" s="2"/>
      <c r="AE36" s="37"/>
      <c r="AF36" s="2"/>
      <c r="AG36" s="2"/>
      <c r="AH36" s="2"/>
      <c r="AI36" s="2"/>
      <c r="AJ36" s="37"/>
      <c r="AK36" s="2"/>
      <c r="AL36" s="2"/>
      <c r="AM36" s="2"/>
      <c r="AN36" s="2"/>
      <c r="AO36" s="37"/>
      <c r="AP36" s="2"/>
      <c r="AQ36" s="2"/>
      <c r="AR36" s="2"/>
      <c r="AS36" s="2"/>
      <c r="AT36" s="37"/>
      <c r="AU36" s="2"/>
      <c r="AV36" s="2"/>
      <c r="AW36" s="2"/>
      <c r="AX36" s="2"/>
      <c r="AY36" s="37"/>
      <c r="AZ36" s="2"/>
      <c r="BA36" s="2"/>
      <c r="BB36" s="2"/>
      <c r="BC36" s="2"/>
      <c r="BD36" s="2"/>
      <c r="BE36" s="2"/>
      <c r="BF36" s="2"/>
      <c r="BG36" s="2"/>
      <c r="BH36" s="2"/>
      <c r="BI36" s="2"/>
      <c r="BJ36" s="2"/>
      <c r="BK36" s="2"/>
      <c r="BL36" s="2"/>
      <c r="BM36" s="2"/>
      <c r="BN36" s="2"/>
      <c r="BO36" s="2"/>
      <c r="BP36" s="2"/>
      <c r="BQ36" s="2"/>
      <c r="BR36" s="2"/>
      <c r="BS36" s="2"/>
    </row>
    <row r="37" ht="15.75" customHeight="1">
      <c r="B37" s="2"/>
      <c r="C37" s="2"/>
      <c r="D37" s="2"/>
      <c r="E37" s="2"/>
      <c r="F37" s="2"/>
      <c r="G37" s="2"/>
      <c r="H37" s="2"/>
      <c r="I37" s="2"/>
      <c r="J37" s="2"/>
      <c r="K37" s="2"/>
      <c r="L37" s="2"/>
      <c r="M37" s="2"/>
      <c r="N37" s="2"/>
      <c r="O37" s="2"/>
      <c r="P37" s="2"/>
      <c r="Q37" s="2"/>
      <c r="R37" s="2"/>
      <c r="S37" s="2"/>
      <c r="T37" s="2"/>
      <c r="U37" s="2"/>
      <c r="V37" s="2"/>
      <c r="W37" s="2"/>
      <c r="X37" s="2"/>
      <c r="Y37" s="2"/>
      <c r="Z37" s="37"/>
      <c r="AA37" s="2"/>
      <c r="AB37" s="2"/>
      <c r="AC37" s="2"/>
      <c r="AD37" s="2"/>
      <c r="AE37" s="37"/>
      <c r="AF37" s="2"/>
      <c r="AG37" s="2"/>
      <c r="AH37" s="2"/>
      <c r="AI37" s="2"/>
      <c r="AJ37" s="37"/>
      <c r="AK37" s="2"/>
      <c r="AL37" s="2"/>
      <c r="AM37" s="2"/>
      <c r="AN37" s="2"/>
      <c r="AO37" s="37"/>
      <c r="AP37" s="2"/>
      <c r="AQ37" s="2"/>
      <c r="AR37" s="2"/>
      <c r="AS37" s="2"/>
      <c r="AT37" s="37"/>
      <c r="AU37" s="2"/>
      <c r="AV37" s="2"/>
      <c r="AW37" s="2"/>
      <c r="AX37" s="2"/>
      <c r="AY37" s="37"/>
      <c r="AZ37" s="2"/>
      <c r="BA37" s="2"/>
      <c r="BB37" s="2"/>
      <c r="BC37" s="2"/>
      <c r="BD37" s="2"/>
      <c r="BE37" s="2"/>
      <c r="BF37" s="2"/>
      <c r="BG37" s="2"/>
      <c r="BH37" s="2"/>
      <c r="BI37" s="2"/>
      <c r="BJ37" s="2"/>
      <c r="BK37" s="2"/>
      <c r="BL37" s="2"/>
      <c r="BM37" s="2"/>
      <c r="BN37" s="2"/>
      <c r="BO37" s="2"/>
      <c r="BP37" s="2"/>
      <c r="BQ37" s="2"/>
      <c r="BR37" s="2"/>
      <c r="BS37" s="2"/>
    </row>
    <row r="38" ht="15.75" customHeight="1">
      <c r="B38" s="2"/>
      <c r="C38" s="2"/>
      <c r="D38" s="2"/>
      <c r="E38" s="2"/>
      <c r="F38" s="2"/>
      <c r="G38" s="2"/>
      <c r="H38" s="2"/>
      <c r="I38" s="2"/>
      <c r="J38" s="2"/>
      <c r="K38" s="2"/>
      <c r="L38" s="2"/>
      <c r="M38" s="2"/>
      <c r="N38" s="2"/>
      <c r="O38" s="2"/>
      <c r="P38" s="2"/>
      <c r="Q38" s="2"/>
      <c r="R38" s="2"/>
      <c r="S38" s="2"/>
      <c r="T38" s="2"/>
      <c r="U38" s="2"/>
      <c r="V38" s="2"/>
      <c r="W38" s="2"/>
      <c r="X38" s="2"/>
      <c r="Y38" s="2"/>
      <c r="Z38" s="37"/>
      <c r="AA38" s="2"/>
      <c r="AB38" s="2"/>
      <c r="AC38" s="2"/>
      <c r="AD38" s="2"/>
      <c r="AE38" s="37"/>
      <c r="AF38" s="2"/>
      <c r="AG38" s="2"/>
      <c r="AH38" s="2"/>
      <c r="AI38" s="2"/>
      <c r="AJ38" s="37"/>
      <c r="AK38" s="2"/>
      <c r="AL38" s="2"/>
      <c r="AM38" s="2"/>
      <c r="AN38" s="2"/>
      <c r="AO38" s="37"/>
      <c r="AP38" s="2"/>
      <c r="AQ38" s="2"/>
      <c r="AR38" s="2"/>
      <c r="AS38" s="2"/>
      <c r="AT38" s="37"/>
      <c r="AU38" s="2"/>
      <c r="AV38" s="2"/>
      <c r="AW38" s="2"/>
      <c r="AX38" s="2"/>
      <c r="AY38" s="37"/>
      <c r="AZ38" s="2"/>
      <c r="BA38" s="2"/>
      <c r="BB38" s="2"/>
      <c r="BC38" s="2"/>
      <c r="BD38" s="2"/>
      <c r="BE38" s="2"/>
      <c r="BF38" s="2"/>
      <c r="BG38" s="2"/>
      <c r="BH38" s="2"/>
      <c r="BI38" s="2"/>
      <c r="BJ38" s="2"/>
      <c r="BK38" s="2"/>
      <c r="BL38" s="2"/>
      <c r="BM38" s="2"/>
      <c r="BN38" s="2"/>
      <c r="BO38" s="2"/>
      <c r="BP38" s="2"/>
      <c r="BQ38" s="2"/>
      <c r="BR38" s="2"/>
      <c r="BS38" s="2"/>
    </row>
    <row r="39" ht="15.75" customHeight="1">
      <c r="A39" s="48" t="s">
        <v>121</v>
      </c>
      <c r="B39" s="2"/>
      <c r="C39" s="2"/>
      <c r="D39" s="2"/>
      <c r="E39" s="2"/>
      <c r="F39" s="2"/>
      <c r="G39" s="2"/>
      <c r="H39" s="2"/>
      <c r="I39" s="2"/>
      <c r="J39" s="2"/>
      <c r="K39" s="2"/>
      <c r="L39" s="2"/>
      <c r="M39" s="2"/>
      <c r="N39" s="2"/>
      <c r="O39" s="2"/>
      <c r="P39" s="2"/>
      <c r="Q39" s="2"/>
      <c r="R39" s="2"/>
      <c r="S39" s="2"/>
      <c r="T39" s="2"/>
      <c r="U39" s="2"/>
      <c r="V39" s="2"/>
      <c r="W39" s="2"/>
      <c r="X39" s="2"/>
      <c r="Y39" s="2"/>
      <c r="Z39" s="37"/>
      <c r="AA39" s="2"/>
      <c r="AB39" s="2"/>
      <c r="AC39" s="2"/>
      <c r="AD39" s="2"/>
      <c r="AE39" s="37"/>
      <c r="AF39" s="2"/>
      <c r="AG39" s="2"/>
      <c r="AH39" s="2"/>
      <c r="AI39" s="2"/>
      <c r="AJ39" s="37"/>
      <c r="AK39" s="2"/>
      <c r="AL39" s="2"/>
      <c r="AM39" s="2"/>
      <c r="AN39" s="2"/>
      <c r="AO39" s="37"/>
      <c r="AP39" s="2"/>
      <c r="AQ39" s="2"/>
      <c r="AR39" s="2"/>
      <c r="AS39" s="2"/>
      <c r="AT39" s="37"/>
      <c r="AU39" s="2"/>
      <c r="AV39" s="2"/>
      <c r="AW39" s="2"/>
      <c r="AX39" s="2"/>
      <c r="AY39" s="37"/>
      <c r="AZ39" s="2"/>
      <c r="BA39" s="2"/>
      <c r="BB39" s="2"/>
      <c r="BC39" s="2"/>
      <c r="BD39" s="2"/>
      <c r="BE39" s="2"/>
      <c r="BF39" s="2"/>
      <c r="BG39" s="2"/>
      <c r="BH39" s="2"/>
      <c r="BI39" s="2"/>
      <c r="BJ39" s="2"/>
      <c r="BK39" s="2"/>
      <c r="BL39" s="2"/>
      <c r="BM39" s="2"/>
      <c r="BN39" s="2"/>
      <c r="BO39" s="2"/>
      <c r="BP39" s="2"/>
      <c r="BQ39" s="2"/>
      <c r="BR39" s="2"/>
      <c r="BS39" s="2"/>
    </row>
    <row r="40" ht="15.75" customHeight="1">
      <c r="B40" s="2"/>
      <c r="C40" s="2"/>
      <c r="D40" s="2"/>
      <c r="E40" s="2"/>
      <c r="F40" s="2"/>
      <c r="G40" s="2"/>
      <c r="H40" s="2"/>
      <c r="I40" s="2"/>
      <c r="J40" s="2"/>
      <c r="K40" s="2"/>
      <c r="L40" s="2"/>
      <c r="M40" s="2"/>
      <c r="N40" s="2"/>
      <c r="O40" s="2"/>
      <c r="P40" s="2"/>
      <c r="Q40" s="2"/>
      <c r="R40" s="2"/>
      <c r="S40" s="2"/>
      <c r="T40" s="2"/>
      <c r="U40" s="2"/>
      <c r="V40" s="2"/>
      <c r="W40" s="2"/>
      <c r="X40" s="2"/>
      <c r="Y40" s="2"/>
      <c r="Z40" s="37"/>
      <c r="AA40" s="2"/>
      <c r="AB40" s="2"/>
      <c r="AC40" s="2"/>
      <c r="AD40" s="2"/>
      <c r="AE40" s="37"/>
      <c r="AF40" s="2"/>
      <c r="AG40" s="2"/>
      <c r="AH40" s="2"/>
      <c r="AI40" s="2"/>
      <c r="AJ40" s="37"/>
      <c r="AK40" s="2"/>
      <c r="AL40" s="2"/>
      <c r="AM40" s="2"/>
      <c r="AN40" s="2"/>
      <c r="AO40" s="37"/>
      <c r="AP40" s="2"/>
      <c r="AQ40" s="2"/>
      <c r="AR40" s="2"/>
      <c r="AS40" s="2"/>
      <c r="AT40" s="37"/>
      <c r="AU40" s="2"/>
      <c r="AV40" s="2"/>
      <c r="AW40" s="2"/>
      <c r="AX40" s="2"/>
      <c r="AY40" s="37"/>
      <c r="AZ40" s="2"/>
      <c r="BA40" s="2"/>
      <c r="BB40" s="2"/>
      <c r="BC40" s="2"/>
      <c r="BD40" s="2"/>
      <c r="BE40" s="2"/>
      <c r="BF40" s="2"/>
      <c r="BG40" s="2"/>
      <c r="BH40" s="2"/>
      <c r="BI40" s="2"/>
      <c r="BJ40" s="2"/>
      <c r="BK40" s="2"/>
      <c r="BL40" s="2"/>
      <c r="BM40" s="2"/>
      <c r="BN40" s="2"/>
      <c r="BO40" s="2"/>
      <c r="BP40" s="2"/>
      <c r="BQ40" s="2"/>
      <c r="BR40" s="2"/>
      <c r="BS40" s="2"/>
    </row>
    <row r="41" ht="15.75" customHeight="1">
      <c r="A41" s="1" t="s">
        <v>122</v>
      </c>
      <c r="B41" s="1" t="s">
        <v>123</v>
      </c>
      <c r="C41" s="16" t="s">
        <v>75</v>
      </c>
      <c r="D41" s="16" t="s">
        <v>76</v>
      </c>
      <c r="E41" s="16" t="s">
        <v>78</v>
      </c>
      <c r="F41" s="16" t="s">
        <v>79</v>
      </c>
      <c r="G41" s="18" t="s">
        <v>80</v>
      </c>
      <c r="H41" s="18" t="s">
        <v>81</v>
      </c>
      <c r="I41" s="16" t="s">
        <v>83</v>
      </c>
      <c r="J41" s="18" t="s">
        <v>84</v>
      </c>
      <c r="K41" s="18" t="s">
        <v>85</v>
      </c>
      <c r="L41" s="18" t="s">
        <v>86</v>
      </c>
      <c r="M41" s="18" t="s">
        <v>88</v>
      </c>
      <c r="N41" s="18" t="s">
        <v>89</v>
      </c>
      <c r="O41" s="18" t="s">
        <v>90</v>
      </c>
      <c r="P41" s="18" t="s">
        <v>91</v>
      </c>
      <c r="Q41" s="16" t="s">
        <v>93</v>
      </c>
      <c r="R41" s="16" t="s">
        <v>94</v>
      </c>
      <c r="S41" s="18" t="s">
        <v>95</v>
      </c>
      <c r="T41" s="18" t="s">
        <v>96</v>
      </c>
      <c r="Z41" s="15"/>
      <c r="AE41" s="15"/>
      <c r="AJ41" s="15"/>
      <c r="AO41" s="15"/>
      <c r="AT41" s="15"/>
      <c r="AY41" s="15"/>
    </row>
    <row r="42" ht="15.75" customHeight="1">
      <c r="A42" s="3" t="s">
        <v>124</v>
      </c>
      <c r="B42" s="14">
        <v>1.0</v>
      </c>
      <c r="C42" s="55">
        <v>0.001</v>
      </c>
      <c r="D42" s="55">
        <v>0.001</v>
      </c>
      <c r="E42" s="55">
        <v>0.003</v>
      </c>
      <c r="F42" s="55">
        <v>0.003</v>
      </c>
      <c r="G42" s="55">
        <v>0.003</v>
      </c>
      <c r="H42" s="55">
        <v>0.003</v>
      </c>
      <c r="I42" s="55">
        <v>0.003</v>
      </c>
      <c r="J42" s="55">
        <v>0.003</v>
      </c>
      <c r="K42" s="55">
        <v>0.003</v>
      </c>
      <c r="L42" s="55">
        <f t="shared" ref="L42:T42" si="119">K42*(0.99)</f>
        <v>0.00297</v>
      </c>
      <c r="M42" s="55">
        <f t="shared" si="119"/>
        <v>0.0029403</v>
      </c>
      <c r="N42" s="55">
        <f t="shared" si="119"/>
        <v>0.002910897</v>
      </c>
      <c r="O42" s="55">
        <f t="shared" si="119"/>
        <v>0.00288178803</v>
      </c>
      <c r="P42" s="55">
        <f t="shared" si="119"/>
        <v>0.00285297015</v>
      </c>
      <c r="Q42" s="55">
        <f t="shared" si="119"/>
        <v>0.002824440448</v>
      </c>
      <c r="R42" s="55">
        <f t="shared" si="119"/>
        <v>0.002796196044</v>
      </c>
      <c r="S42" s="55">
        <f t="shared" si="119"/>
        <v>0.002768234083</v>
      </c>
      <c r="T42" s="55">
        <f t="shared" si="119"/>
        <v>0.002740551742</v>
      </c>
      <c r="Z42" s="15"/>
      <c r="AE42" s="15"/>
      <c r="AJ42" s="15"/>
      <c r="AO42" s="15"/>
      <c r="AT42" s="15"/>
      <c r="AY42" s="15"/>
    </row>
    <row r="43" ht="15.75" customHeight="1">
      <c r="A43" s="3" t="s">
        <v>125</v>
      </c>
      <c r="B43" s="14">
        <v>2.0</v>
      </c>
      <c r="C43" s="55">
        <v>-0.005</v>
      </c>
      <c r="D43" s="55">
        <v>-0.005</v>
      </c>
      <c r="E43" s="55">
        <v>-0.005</v>
      </c>
      <c r="F43" s="55">
        <v>-0.005</v>
      </c>
      <c r="G43" s="55">
        <v>-0.005</v>
      </c>
      <c r="H43" s="55">
        <v>-0.005</v>
      </c>
      <c r="I43" s="55">
        <v>-0.005</v>
      </c>
      <c r="J43" s="55">
        <v>-0.005</v>
      </c>
      <c r="K43" s="55">
        <f>J43*(0.99)</f>
        <v>-0.00495</v>
      </c>
      <c r="L43" s="55">
        <f t="shared" ref="L43:T43" si="120">K43*(1)</f>
        <v>-0.00495</v>
      </c>
      <c r="M43" s="55">
        <f t="shared" si="120"/>
        <v>-0.00495</v>
      </c>
      <c r="N43" s="55">
        <f t="shared" si="120"/>
        <v>-0.00495</v>
      </c>
      <c r="O43" s="55">
        <f t="shared" si="120"/>
        <v>-0.00495</v>
      </c>
      <c r="P43" s="55">
        <f t="shared" si="120"/>
        <v>-0.00495</v>
      </c>
      <c r="Q43" s="55">
        <f t="shared" si="120"/>
        <v>-0.00495</v>
      </c>
      <c r="R43" s="55">
        <f t="shared" si="120"/>
        <v>-0.00495</v>
      </c>
      <c r="S43" s="55">
        <f t="shared" si="120"/>
        <v>-0.00495</v>
      </c>
      <c r="T43" s="55">
        <f t="shared" si="120"/>
        <v>-0.00495</v>
      </c>
      <c r="Z43" s="15"/>
      <c r="AE43" s="15"/>
      <c r="AJ43" s="15"/>
      <c r="AO43" s="15"/>
      <c r="AT43" s="15"/>
      <c r="AY43" s="15"/>
    </row>
    <row r="44" ht="15.75" customHeight="1">
      <c r="A44" s="3" t="s">
        <v>126</v>
      </c>
      <c r="B44" s="14">
        <v>3.0</v>
      </c>
      <c r="C44" s="55">
        <f>C42*0.5</f>
        <v>0.0005</v>
      </c>
      <c r="D44" s="55">
        <v>0.0</v>
      </c>
      <c r="E44" s="55">
        <v>0.0</v>
      </c>
      <c r="F44" s="55">
        <v>0.0</v>
      </c>
      <c r="G44" s="55">
        <v>0.0</v>
      </c>
      <c r="H44" s="55">
        <v>0.0</v>
      </c>
      <c r="I44" s="55">
        <v>0.0</v>
      </c>
      <c r="J44" s="55">
        <v>0.0</v>
      </c>
      <c r="K44" s="55">
        <v>0.0</v>
      </c>
      <c r="L44" s="55">
        <v>0.0</v>
      </c>
      <c r="M44" s="55">
        <v>0.0</v>
      </c>
      <c r="N44" s="55">
        <v>0.0</v>
      </c>
      <c r="O44" s="55">
        <v>0.0</v>
      </c>
      <c r="P44" s="55">
        <v>0.0</v>
      </c>
      <c r="Q44" s="55">
        <v>0.0</v>
      </c>
      <c r="R44" s="55">
        <v>0.0</v>
      </c>
      <c r="S44" s="55">
        <v>0.0</v>
      </c>
      <c r="T44" s="55">
        <v>0.0</v>
      </c>
      <c r="Z44" s="15"/>
      <c r="AE44" s="15"/>
      <c r="AJ44" s="15"/>
      <c r="AO44" s="15"/>
      <c r="AT44" s="15"/>
      <c r="AY44" s="15"/>
    </row>
    <row r="45" ht="15.75" customHeight="1">
      <c r="A45" s="3" t="s">
        <v>127</v>
      </c>
      <c r="B45" s="14">
        <v>4.0</v>
      </c>
      <c r="C45" s="55">
        <f t="shared" ref="C45:T45" si="121">C42*1.5</f>
        <v>0.0015</v>
      </c>
      <c r="D45" s="55">
        <f t="shared" si="121"/>
        <v>0.0015</v>
      </c>
      <c r="E45" s="55">
        <f t="shared" si="121"/>
        <v>0.0045</v>
      </c>
      <c r="F45" s="55">
        <f t="shared" si="121"/>
        <v>0.0045</v>
      </c>
      <c r="G45" s="55">
        <f t="shared" si="121"/>
        <v>0.0045</v>
      </c>
      <c r="H45" s="55">
        <f t="shared" si="121"/>
        <v>0.0045</v>
      </c>
      <c r="I45" s="55">
        <f t="shared" si="121"/>
        <v>0.0045</v>
      </c>
      <c r="J45" s="55">
        <f t="shared" si="121"/>
        <v>0.0045</v>
      </c>
      <c r="K45" s="55">
        <f t="shared" si="121"/>
        <v>0.0045</v>
      </c>
      <c r="L45" s="55">
        <f t="shared" si="121"/>
        <v>0.004455</v>
      </c>
      <c r="M45" s="55">
        <f t="shared" si="121"/>
        <v>0.00441045</v>
      </c>
      <c r="N45" s="55">
        <f t="shared" si="121"/>
        <v>0.0043663455</v>
      </c>
      <c r="O45" s="55">
        <f t="shared" si="121"/>
        <v>0.004322682045</v>
      </c>
      <c r="P45" s="55">
        <f t="shared" si="121"/>
        <v>0.004279455225</v>
      </c>
      <c r="Q45" s="55">
        <f t="shared" si="121"/>
        <v>0.004236660672</v>
      </c>
      <c r="R45" s="55">
        <f t="shared" si="121"/>
        <v>0.004194294066</v>
      </c>
      <c r="S45" s="55">
        <f t="shared" si="121"/>
        <v>0.004152351125</v>
      </c>
      <c r="T45" s="55">
        <f t="shared" si="121"/>
        <v>0.004110827614</v>
      </c>
      <c r="Z45" s="15"/>
      <c r="AE45" s="15"/>
      <c r="AJ45" s="15"/>
      <c r="AO45" s="15"/>
      <c r="AT45" s="15"/>
      <c r="AY45" s="15"/>
    </row>
    <row r="46" ht="15.75" customHeight="1">
      <c r="A46" s="3" t="s">
        <v>128</v>
      </c>
      <c r="B46" s="14">
        <v>5.0</v>
      </c>
      <c r="C46" s="55">
        <f t="shared" ref="C46:T46" si="122">C42*1.85</f>
        <v>0.00185</v>
      </c>
      <c r="D46" s="55">
        <f t="shared" si="122"/>
        <v>0.00185</v>
      </c>
      <c r="E46" s="55">
        <f t="shared" si="122"/>
        <v>0.00555</v>
      </c>
      <c r="F46" s="55">
        <f t="shared" si="122"/>
        <v>0.00555</v>
      </c>
      <c r="G46" s="55">
        <f t="shared" si="122"/>
        <v>0.00555</v>
      </c>
      <c r="H46" s="55">
        <f t="shared" si="122"/>
        <v>0.00555</v>
      </c>
      <c r="I46" s="55">
        <f t="shared" si="122"/>
        <v>0.00555</v>
      </c>
      <c r="J46" s="55">
        <f t="shared" si="122"/>
        <v>0.00555</v>
      </c>
      <c r="K46" s="55">
        <f t="shared" si="122"/>
        <v>0.00555</v>
      </c>
      <c r="L46" s="55">
        <f t="shared" si="122"/>
        <v>0.0054945</v>
      </c>
      <c r="M46" s="55">
        <f t="shared" si="122"/>
        <v>0.005439555</v>
      </c>
      <c r="N46" s="55">
        <f t="shared" si="122"/>
        <v>0.00538515945</v>
      </c>
      <c r="O46" s="55">
        <f t="shared" si="122"/>
        <v>0.005331307856</v>
      </c>
      <c r="P46" s="55">
        <f t="shared" si="122"/>
        <v>0.005277994777</v>
      </c>
      <c r="Q46" s="55">
        <f t="shared" si="122"/>
        <v>0.005225214829</v>
      </c>
      <c r="R46" s="55">
        <f t="shared" si="122"/>
        <v>0.005172962681</v>
      </c>
      <c r="S46" s="55">
        <f t="shared" si="122"/>
        <v>0.005121233054</v>
      </c>
      <c r="T46" s="55">
        <f t="shared" si="122"/>
        <v>0.005070020724</v>
      </c>
      <c r="Z46" s="15"/>
      <c r="AE46" s="15"/>
      <c r="AJ46" s="15"/>
      <c r="AO46" s="15"/>
      <c r="AT46" s="15"/>
      <c r="AY46" s="15"/>
    </row>
    <row r="47" ht="15.75" customHeight="1">
      <c r="A47" s="1" t="s">
        <v>122</v>
      </c>
      <c r="B47" s="33">
        <f>C20</f>
        <v>1</v>
      </c>
      <c r="C47" s="56">
        <f t="shared" ref="C47:T47" si="123">IFS($C$20=$B$42,C42, $C$20=$B$43,C43,$C$20=$B$44,C44,$C$20=$B$45,C45,$C$20=$B$46,C46)</f>
        <v>0.001</v>
      </c>
      <c r="D47" s="56">
        <f t="shared" si="123"/>
        <v>0.001</v>
      </c>
      <c r="E47" s="56">
        <f t="shared" si="123"/>
        <v>0.003</v>
      </c>
      <c r="F47" s="56">
        <f t="shared" si="123"/>
        <v>0.003</v>
      </c>
      <c r="G47" s="56">
        <f t="shared" si="123"/>
        <v>0.003</v>
      </c>
      <c r="H47" s="56">
        <f t="shared" si="123"/>
        <v>0.003</v>
      </c>
      <c r="I47" s="56">
        <f t="shared" si="123"/>
        <v>0.003</v>
      </c>
      <c r="J47" s="56">
        <f t="shared" si="123"/>
        <v>0.003</v>
      </c>
      <c r="K47" s="56">
        <f t="shared" si="123"/>
        <v>0.003</v>
      </c>
      <c r="L47" s="56">
        <f t="shared" si="123"/>
        <v>0.00297</v>
      </c>
      <c r="M47" s="56">
        <f t="shared" si="123"/>
        <v>0.0029403</v>
      </c>
      <c r="N47" s="56">
        <f t="shared" si="123"/>
        <v>0.002910897</v>
      </c>
      <c r="O47" s="56">
        <f t="shared" si="123"/>
        <v>0.00288178803</v>
      </c>
      <c r="P47" s="56">
        <f t="shared" si="123"/>
        <v>0.00285297015</v>
      </c>
      <c r="Q47" s="56">
        <f t="shared" si="123"/>
        <v>0.002824440448</v>
      </c>
      <c r="R47" s="56">
        <f t="shared" si="123"/>
        <v>0.002796196044</v>
      </c>
      <c r="S47" s="56">
        <f t="shared" si="123"/>
        <v>0.002768234083</v>
      </c>
      <c r="T47" s="56">
        <f t="shared" si="123"/>
        <v>0.002740551742</v>
      </c>
      <c r="Z47" s="15"/>
      <c r="AE47" s="15"/>
      <c r="AJ47" s="15"/>
      <c r="AO47" s="15"/>
      <c r="AT47" s="15"/>
      <c r="AY47" s="15"/>
    </row>
    <row r="48" ht="15.75" customHeight="1">
      <c r="B48" s="14"/>
      <c r="C48" s="14"/>
      <c r="D48" s="14"/>
      <c r="E48" s="14"/>
      <c r="F48" s="14"/>
      <c r="G48" s="14"/>
      <c r="Z48" s="15"/>
      <c r="AE48" s="15"/>
      <c r="AJ48" s="15"/>
      <c r="AO48" s="15"/>
      <c r="AT48" s="15"/>
      <c r="AY48" s="15"/>
    </row>
    <row r="49" ht="15.75" customHeight="1">
      <c r="A49" s="1" t="s">
        <v>129</v>
      </c>
      <c r="B49" s="1" t="s">
        <v>123</v>
      </c>
      <c r="C49" s="16" t="s">
        <v>75</v>
      </c>
      <c r="D49" s="16" t="s">
        <v>76</v>
      </c>
      <c r="E49" s="16" t="s">
        <v>78</v>
      </c>
      <c r="F49" s="16" t="s">
        <v>79</v>
      </c>
      <c r="G49" s="18" t="s">
        <v>80</v>
      </c>
      <c r="H49" s="18" t="s">
        <v>81</v>
      </c>
      <c r="I49" s="16" t="s">
        <v>83</v>
      </c>
      <c r="J49" s="18" t="s">
        <v>84</v>
      </c>
      <c r="K49" s="18" t="s">
        <v>85</v>
      </c>
      <c r="L49" s="18" t="s">
        <v>86</v>
      </c>
      <c r="M49" s="18" t="s">
        <v>88</v>
      </c>
      <c r="N49" s="18" t="s">
        <v>89</v>
      </c>
      <c r="O49" s="18" t="s">
        <v>90</v>
      </c>
      <c r="P49" s="18" t="s">
        <v>91</v>
      </c>
      <c r="Q49" s="16" t="s">
        <v>93</v>
      </c>
      <c r="R49" s="16" t="s">
        <v>94</v>
      </c>
      <c r="S49" s="18" t="s">
        <v>95</v>
      </c>
      <c r="T49" s="18" t="s">
        <v>96</v>
      </c>
      <c r="Z49" s="15"/>
      <c r="AE49" s="15"/>
      <c r="AJ49" s="15"/>
      <c r="AO49" s="15"/>
      <c r="AT49" s="15"/>
      <c r="AY49" s="15"/>
    </row>
    <row r="50" ht="15.75" customHeight="1">
      <c r="A50" s="3" t="s">
        <v>124</v>
      </c>
      <c r="B50" s="14">
        <v>1.0</v>
      </c>
      <c r="C50" s="55">
        <v>-0.02</v>
      </c>
      <c r="D50" s="55">
        <v>-0.02</v>
      </c>
      <c r="E50" s="55">
        <v>0.0225</v>
      </c>
      <c r="F50" s="55">
        <v>0.0225</v>
      </c>
      <c r="G50" s="55">
        <v>0.0225</v>
      </c>
      <c r="H50" s="55">
        <v>0.0225</v>
      </c>
      <c r="I50" s="55">
        <v>0.0225</v>
      </c>
      <c r="J50" s="55">
        <v>0.0225</v>
      </c>
      <c r="K50" s="55">
        <v>0.0225</v>
      </c>
      <c r="L50" s="55">
        <v>0.0225</v>
      </c>
      <c r="M50" s="55">
        <v>0.0225</v>
      </c>
      <c r="N50" s="55">
        <v>0.0225</v>
      </c>
      <c r="O50" s="55">
        <v>0.0225</v>
      </c>
      <c r="P50" s="55">
        <v>0.0225</v>
      </c>
      <c r="Q50" s="55">
        <v>0.0175</v>
      </c>
      <c r="R50" s="55">
        <v>0.0175</v>
      </c>
      <c r="S50" s="55">
        <v>0.0175</v>
      </c>
      <c r="T50" s="55">
        <v>0.0175</v>
      </c>
      <c r="Z50" s="15"/>
      <c r="AE50" s="15"/>
      <c r="AJ50" s="15"/>
      <c r="AO50" s="15"/>
      <c r="AT50" s="15"/>
      <c r="AY50" s="15"/>
    </row>
    <row r="51" ht="15.75" customHeight="1">
      <c r="A51" s="3" t="s">
        <v>125</v>
      </c>
      <c r="B51" s="14">
        <v>2.0</v>
      </c>
      <c r="C51" s="55">
        <v>-0.04</v>
      </c>
      <c r="D51" s="55">
        <v>-0.04</v>
      </c>
      <c r="E51" s="55">
        <v>0.0</v>
      </c>
      <c r="F51" s="55">
        <v>0.0</v>
      </c>
      <c r="G51" s="55">
        <v>0.0</v>
      </c>
      <c r="H51" s="55">
        <v>0.0</v>
      </c>
      <c r="I51" s="55">
        <v>0.0</v>
      </c>
      <c r="J51" s="55">
        <v>0.0</v>
      </c>
      <c r="K51" s="55">
        <v>0.0</v>
      </c>
      <c r="L51" s="55">
        <v>0.0</v>
      </c>
      <c r="M51" s="55">
        <v>0.0</v>
      </c>
      <c r="N51" s="55">
        <v>0.0</v>
      </c>
      <c r="O51" s="55">
        <v>0.0</v>
      </c>
      <c r="P51" s="55">
        <v>0.0</v>
      </c>
      <c r="Q51" s="55">
        <v>-0.01</v>
      </c>
      <c r="R51" s="55">
        <v>-0.01</v>
      </c>
      <c r="S51" s="55">
        <v>-0.01</v>
      </c>
      <c r="T51" s="55">
        <v>-0.01</v>
      </c>
      <c r="Z51" s="15"/>
      <c r="AE51" s="15"/>
      <c r="AJ51" s="15"/>
      <c r="AO51" s="15"/>
      <c r="AT51" s="15"/>
      <c r="AY51" s="15"/>
    </row>
    <row r="52" ht="15.75" customHeight="1">
      <c r="A52" s="3" t="s">
        <v>126</v>
      </c>
      <c r="B52" s="14">
        <v>3.0</v>
      </c>
      <c r="C52" s="55">
        <v>-0.03</v>
      </c>
      <c r="D52" s="55">
        <v>-0.03</v>
      </c>
      <c r="E52" s="55">
        <v>0.01</v>
      </c>
      <c r="F52" s="55">
        <v>0.01</v>
      </c>
      <c r="G52" s="55">
        <v>0.01</v>
      </c>
      <c r="H52" s="55">
        <v>0.01</v>
      </c>
      <c r="I52" s="55">
        <v>0.01</v>
      </c>
      <c r="J52" s="55">
        <v>0.01</v>
      </c>
      <c r="K52" s="55">
        <v>0.01</v>
      </c>
      <c r="L52" s="55">
        <v>0.01</v>
      </c>
      <c r="M52" s="55">
        <v>0.01</v>
      </c>
      <c r="N52" s="55">
        <v>0.01</v>
      </c>
      <c r="O52" s="55">
        <v>0.01</v>
      </c>
      <c r="P52" s="55">
        <v>0.01</v>
      </c>
      <c r="Q52" s="55">
        <v>0.005</v>
      </c>
      <c r="R52" s="55">
        <v>0.005</v>
      </c>
      <c r="S52" s="55">
        <v>0.005</v>
      </c>
      <c r="T52" s="55">
        <v>0.005</v>
      </c>
      <c r="Z52" s="15"/>
      <c r="AE52" s="15"/>
      <c r="AJ52" s="15"/>
      <c r="AO52" s="15"/>
      <c r="AT52" s="15"/>
      <c r="AY52" s="15"/>
    </row>
    <row r="53" ht="15.75" customHeight="1">
      <c r="A53" s="3" t="s">
        <v>127</v>
      </c>
      <c r="B53" s="14">
        <v>4.0</v>
      </c>
      <c r="C53" s="55">
        <v>0.0</v>
      </c>
      <c r="D53" s="55">
        <v>0.0</v>
      </c>
      <c r="E53" s="55">
        <v>0.035</v>
      </c>
      <c r="F53" s="55">
        <v>0.035</v>
      </c>
      <c r="G53" s="55">
        <v>0.035</v>
      </c>
      <c r="H53" s="55">
        <v>0.035</v>
      </c>
      <c r="I53" s="55">
        <v>0.035</v>
      </c>
      <c r="J53" s="55">
        <v>0.035</v>
      </c>
      <c r="K53" s="55">
        <v>0.035</v>
      </c>
      <c r="L53" s="55">
        <v>0.035</v>
      </c>
      <c r="M53" s="55">
        <v>0.035</v>
      </c>
      <c r="N53" s="55">
        <v>0.035</v>
      </c>
      <c r="O53" s="55">
        <v>0.035</v>
      </c>
      <c r="P53" s="55">
        <v>0.035</v>
      </c>
      <c r="Q53" s="55">
        <v>0.03</v>
      </c>
      <c r="R53" s="55">
        <v>0.03</v>
      </c>
      <c r="S53" s="55">
        <v>0.03</v>
      </c>
      <c r="T53" s="55">
        <v>0.03</v>
      </c>
      <c r="Z53" s="15"/>
      <c r="AE53" s="15"/>
      <c r="AJ53" s="15"/>
      <c r="AO53" s="15"/>
      <c r="AT53" s="15"/>
      <c r="AY53" s="15"/>
    </row>
    <row r="54" ht="15.75" customHeight="1">
      <c r="A54" s="3" t="s">
        <v>128</v>
      </c>
      <c r="B54" s="14">
        <v>5.0</v>
      </c>
      <c r="C54" s="55">
        <v>0.01</v>
      </c>
      <c r="D54" s="55">
        <v>0.01</v>
      </c>
      <c r="E54" s="55">
        <v>0.04</v>
      </c>
      <c r="F54" s="55">
        <v>0.04</v>
      </c>
      <c r="G54" s="55">
        <v>0.04</v>
      </c>
      <c r="H54" s="55">
        <v>0.04</v>
      </c>
      <c r="I54" s="55">
        <v>0.04</v>
      </c>
      <c r="J54" s="55">
        <v>0.04</v>
      </c>
      <c r="K54" s="55">
        <v>0.04</v>
      </c>
      <c r="L54" s="55">
        <v>0.04</v>
      </c>
      <c r="M54" s="55">
        <v>0.04</v>
      </c>
      <c r="N54" s="55">
        <v>0.04</v>
      </c>
      <c r="O54" s="55">
        <v>0.04</v>
      </c>
      <c r="P54" s="55">
        <v>0.04</v>
      </c>
      <c r="Q54" s="55">
        <v>0.035</v>
      </c>
      <c r="R54" s="55">
        <v>0.035</v>
      </c>
      <c r="S54" s="55">
        <v>0.035</v>
      </c>
      <c r="T54" s="55">
        <v>0.035</v>
      </c>
      <c r="Z54" s="15"/>
      <c r="AE54" s="15"/>
      <c r="AJ54" s="15"/>
      <c r="AO54" s="15"/>
      <c r="AT54" s="15"/>
      <c r="AY54" s="15"/>
    </row>
    <row r="55" ht="15.75" customHeight="1">
      <c r="A55" s="1" t="s">
        <v>130</v>
      </c>
      <c r="B55" s="33">
        <f>C28</f>
        <v>1</v>
      </c>
      <c r="C55" s="56">
        <f t="shared" ref="C55:T55" si="124">IFS($C$28=$B50,C50, $C$28=$B51,C51,$C$28=$B52,C52,$C$28=$B53,C53,$C$28=$B54,C54)</f>
        <v>-0.02</v>
      </c>
      <c r="D55" s="56">
        <f t="shared" si="124"/>
        <v>-0.02</v>
      </c>
      <c r="E55" s="56">
        <f t="shared" si="124"/>
        <v>0.0225</v>
      </c>
      <c r="F55" s="56">
        <f t="shared" si="124"/>
        <v>0.0225</v>
      </c>
      <c r="G55" s="56">
        <f t="shared" si="124"/>
        <v>0.0225</v>
      </c>
      <c r="H55" s="56">
        <f t="shared" si="124"/>
        <v>0.0225</v>
      </c>
      <c r="I55" s="56">
        <f t="shared" si="124"/>
        <v>0.0225</v>
      </c>
      <c r="J55" s="56">
        <f t="shared" si="124"/>
        <v>0.0225</v>
      </c>
      <c r="K55" s="56">
        <f t="shared" si="124"/>
        <v>0.0225</v>
      </c>
      <c r="L55" s="56">
        <f t="shared" si="124"/>
        <v>0.0225</v>
      </c>
      <c r="M55" s="56">
        <f t="shared" si="124"/>
        <v>0.0225</v>
      </c>
      <c r="N55" s="56">
        <f t="shared" si="124"/>
        <v>0.0225</v>
      </c>
      <c r="O55" s="56">
        <f t="shared" si="124"/>
        <v>0.0225</v>
      </c>
      <c r="P55" s="56">
        <f t="shared" si="124"/>
        <v>0.0225</v>
      </c>
      <c r="Q55" s="56">
        <f t="shared" si="124"/>
        <v>0.0175</v>
      </c>
      <c r="R55" s="56">
        <f t="shared" si="124"/>
        <v>0.0175</v>
      </c>
      <c r="S55" s="56">
        <f t="shared" si="124"/>
        <v>0.0175</v>
      </c>
      <c r="T55" s="56">
        <f t="shared" si="124"/>
        <v>0.0175</v>
      </c>
      <c r="Z55" s="15"/>
      <c r="AE55" s="15"/>
      <c r="AJ55" s="15"/>
      <c r="AO55" s="15"/>
      <c r="AT55" s="15"/>
      <c r="AY55" s="15"/>
    </row>
    <row r="56" ht="15.75" customHeight="1">
      <c r="Z56" s="15"/>
      <c r="AE56" s="15"/>
      <c r="AJ56" s="15"/>
      <c r="AO56" s="15"/>
      <c r="AT56" s="15"/>
      <c r="AY56" s="15"/>
    </row>
    <row r="57" ht="15.75" customHeight="1">
      <c r="A57" s="1" t="s">
        <v>131</v>
      </c>
      <c r="B57" s="1" t="s">
        <v>123</v>
      </c>
      <c r="C57" s="16" t="s">
        <v>75</v>
      </c>
      <c r="D57" s="16" t="s">
        <v>76</v>
      </c>
      <c r="E57" s="16" t="s">
        <v>78</v>
      </c>
      <c r="F57" s="16" t="s">
        <v>79</v>
      </c>
      <c r="G57" s="18" t="s">
        <v>80</v>
      </c>
      <c r="H57" s="18" t="s">
        <v>81</v>
      </c>
      <c r="I57" s="16" t="s">
        <v>83</v>
      </c>
      <c r="J57" s="18" t="s">
        <v>84</v>
      </c>
      <c r="K57" s="18" t="s">
        <v>85</v>
      </c>
      <c r="L57" s="18" t="s">
        <v>86</v>
      </c>
      <c r="M57" s="18" t="s">
        <v>88</v>
      </c>
      <c r="N57" s="18" t="s">
        <v>89</v>
      </c>
      <c r="O57" s="18" t="s">
        <v>90</v>
      </c>
      <c r="P57" s="18" t="s">
        <v>91</v>
      </c>
      <c r="Q57" s="16" t="s">
        <v>93</v>
      </c>
      <c r="R57" s="16" t="s">
        <v>94</v>
      </c>
      <c r="S57" s="18" t="s">
        <v>95</v>
      </c>
      <c r="T57" s="18" t="s">
        <v>96</v>
      </c>
      <c r="Z57" s="15"/>
      <c r="AE57" s="15"/>
      <c r="AJ57" s="15"/>
      <c r="AO57" s="15"/>
      <c r="AT57" s="15"/>
      <c r="AY57" s="15"/>
    </row>
    <row r="58" ht="15.75" customHeight="1">
      <c r="A58" s="3" t="s">
        <v>124</v>
      </c>
      <c r="B58" s="14">
        <v>1.0</v>
      </c>
      <c r="C58" s="55">
        <v>0.0</v>
      </c>
      <c r="D58" s="55">
        <v>0.0</v>
      </c>
      <c r="E58" s="55">
        <v>0.0</v>
      </c>
      <c r="F58" s="55">
        <v>0.0</v>
      </c>
      <c r="G58" s="55">
        <v>0.0</v>
      </c>
      <c r="H58" s="55">
        <v>0.0</v>
      </c>
      <c r="I58" s="55">
        <v>0.0</v>
      </c>
      <c r="J58" s="55">
        <v>0.0</v>
      </c>
      <c r="K58" s="55">
        <v>0.0</v>
      </c>
      <c r="L58" s="55">
        <v>0.0</v>
      </c>
      <c r="M58" s="55">
        <v>0.0</v>
      </c>
      <c r="N58" s="55">
        <v>0.0</v>
      </c>
      <c r="O58" s="55">
        <v>0.0</v>
      </c>
      <c r="P58" s="55">
        <v>0.0</v>
      </c>
      <c r="Q58" s="55">
        <v>0.0</v>
      </c>
      <c r="R58" s="55">
        <v>0.0</v>
      </c>
      <c r="S58" s="55">
        <v>0.0</v>
      </c>
      <c r="T58" s="55">
        <v>0.0</v>
      </c>
      <c r="Z58" s="15"/>
      <c r="AE58" s="15"/>
      <c r="AJ58" s="15"/>
      <c r="AO58" s="15"/>
      <c r="AT58" s="15"/>
      <c r="AY58" s="15"/>
    </row>
    <row r="59" ht="15.75" customHeight="1">
      <c r="A59" s="3" t="s">
        <v>125</v>
      </c>
      <c r="B59" s="14">
        <v>2.0</v>
      </c>
      <c r="C59" s="55">
        <v>-0.01</v>
      </c>
      <c r="D59" s="55">
        <v>-0.01</v>
      </c>
      <c r="E59" s="55">
        <v>-0.01</v>
      </c>
      <c r="F59" s="55">
        <v>-0.01</v>
      </c>
      <c r="G59" s="55">
        <v>-0.01</v>
      </c>
      <c r="H59" s="55">
        <v>-0.01</v>
      </c>
      <c r="I59" s="55">
        <v>-0.01</v>
      </c>
      <c r="J59" s="55">
        <v>-0.01</v>
      </c>
      <c r="K59" s="55">
        <v>-0.01</v>
      </c>
      <c r="L59" s="55">
        <v>-0.01</v>
      </c>
      <c r="M59" s="55">
        <v>-0.01</v>
      </c>
      <c r="N59" s="55">
        <v>-0.01</v>
      </c>
      <c r="O59" s="55">
        <v>-0.01</v>
      </c>
      <c r="P59" s="55">
        <v>-0.01</v>
      </c>
      <c r="Q59" s="55">
        <v>-0.01</v>
      </c>
      <c r="R59" s="55">
        <v>-0.01</v>
      </c>
      <c r="S59" s="55">
        <v>-0.01</v>
      </c>
      <c r="T59" s="55">
        <v>-0.01</v>
      </c>
      <c r="Z59" s="15"/>
      <c r="AE59" s="15"/>
      <c r="AJ59" s="15"/>
      <c r="AO59" s="15"/>
      <c r="AT59" s="15"/>
      <c r="AY59" s="15"/>
    </row>
    <row r="60" ht="15.75" customHeight="1">
      <c r="A60" s="3" t="s">
        <v>126</v>
      </c>
      <c r="B60" s="14">
        <v>3.0</v>
      </c>
      <c r="C60" s="55">
        <v>0.01</v>
      </c>
      <c r="D60" s="55">
        <v>0.01</v>
      </c>
      <c r="E60" s="55">
        <v>0.01</v>
      </c>
      <c r="F60" s="55">
        <v>0.01</v>
      </c>
      <c r="G60" s="55">
        <v>0.01</v>
      </c>
      <c r="H60" s="55">
        <v>0.01</v>
      </c>
      <c r="I60" s="55">
        <v>0.01</v>
      </c>
      <c r="J60" s="55">
        <v>0.01</v>
      </c>
      <c r="K60" s="55">
        <v>0.01</v>
      </c>
      <c r="L60" s="55">
        <v>0.01</v>
      </c>
      <c r="M60" s="55">
        <v>0.01</v>
      </c>
      <c r="N60" s="55">
        <v>0.01</v>
      </c>
      <c r="O60" s="55">
        <v>0.01</v>
      </c>
      <c r="P60" s="55">
        <v>0.01</v>
      </c>
      <c r="Q60" s="55">
        <v>0.01</v>
      </c>
      <c r="R60" s="55">
        <v>0.01</v>
      </c>
      <c r="S60" s="55">
        <v>0.01</v>
      </c>
      <c r="T60" s="55">
        <v>0.01</v>
      </c>
      <c r="Z60" s="15"/>
      <c r="AE60" s="15"/>
      <c r="AJ60" s="15"/>
      <c r="AO60" s="15"/>
      <c r="AT60" s="15"/>
      <c r="AY60" s="15"/>
    </row>
    <row r="61" ht="15.75" customHeight="1">
      <c r="A61" s="3" t="s">
        <v>127</v>
      </c>
      <c r="B61" s="14">
        <v>4.0</v>
      </c>
      <c r="C61" s="55">
        <v>0.02</v>
      </c>
      <c r="D61" s="55">
        <v>0.02</v>
      </c>
      <c r="E61" s="55">
        <v>0.02</v>
      </c>
      <c r="F61" s="55">
        <v>0.02</v>
      </c>
      <c r="G61" s="55">
        <v>0.02</v>
      </c>
      <c r="H61" s="55">
        <v>0.02</v>
      </c>
      <c r="I61" s="55">
        <v>0.02</v>
      </c>
      <c r="J61" s="55">
        <v>0.02</v>
      </c>
      <c r="K61" s="55">
        <v>0.02</v>
      </c>
      <c r="L61" s="55">
        <v>0.02</v>
      </c>
      <c r="M61" s="55">
        <v>0.02</v>
      </c>
      <c r="N61" s="55">
        <v>0.02</v>
      </c>
      <c r="O61" s="55">
        <v>0.02</v>
      </c>
      <c r="P61" s="55">
        <v>0.02</v>
      </c>
      <c r="Q61" s="55">
        <v>0.02</v>
      </c>
      <c r="R61" s="55">
        <v>0.02</v>
      </c>
      <c r="S61" s="55">
        <v>0.02</v>
      </c>
      <c r="T61" s="55">
        <v>0.02</v>
      </c>
      <c r="Z61" s="15"/>
      <c r="AE61" s="15"/>
      <c r="AJ61" s="15"/>
      <c r="AO61" s="15"/>
      <c r="AT61" s="15"/>
      <c r="AY61" s="15"/>
    </row>
    <row r="62" ht="15.75" customHeight="1">
      <c r="A62" s="3" t="s">
        <v>128</v>
      </c>
      <c r="B62" s="14">
        <v>5.0</v>
      </c>
      <c r="C62" s="55">
        <v>0.03</v>
      </c>
      <c r="D62" s="55">
        <v>0.03</v>
      </c>
      <c r="E62" s="55">
        <v>0.03</v>
      </c>
      <c r="F62" s="55">
        <v>0.03</v>
      </c>
      <c r="G62" s="55">
        <v>0.03</v>
      </c>
      <c r="H62" s="55">
        <v>0.03</v>
      </c>
      <c r="I62" s="55">
        <v>0.03</v>
      </c>
      <c r="J62" s="55">
        <v>0.03</v>
      </c>
      <c r="K62" s="55">
        <v>0.03</v>
      </c>
      <c r="L62" s="55">
        <v>0.03</v>
      </c>
      <c r="M62" s="55">
        <v>0.03</v>
      </c>
      <c r="N62" s="55">
        <v>0.03</v>
      </c>
      <c r="O62" s="55">
        <v>0.03</v>
      </c>
      <c r="P62" s="55">
        <v>0.03</v>
      </c>
      <c r="Q62" s="55">
        <v>0.03</v>
      </c>
      <c r="R62" s="55">
        <v>0.03</v>
      </c>
      <c r="S62" s="55">
        <v>0.03</v>
      </c>
      <c r="T62" s="55">
        <v>0.03</v>
      </c>
      <c r="Z62" s="15"/>
      <c r="AE62" s="15"/>
      <c r="AJ62" s="15"/>
      <c r="AO62" s="15"/>
      <c r="AT62" s="15"/>
      <c r="AY62" s="15"/>
    </row>
    <row r="63" ht="15.75" customHeight="1">
      <c r="A63" s="1" t="s">
        <v>130</v>
      </c>
      <c r="B63" s="33">
        <f>C31</f>
        <v>1</v>
      </c>
      <c r="C63" s="56">
        <f t="shared" ref="C63:T63" si="125">IFS($C$31=$B58,C58, $C$31=$B59,C59,$C$31=$B60,C60,$C$31=$B61,C61,$C$31=$B62,C62)</f>
        <v>0</v>
      </c>
      <c r="D63" s="56">
        <f t="shared" si="125"/>
        <v>0</v>
      </c>
      <c r="E63" s="56">
        <f t="shared" si="125"/>
        <v>0</v>
      </c>
      <c r="F63" s="56">
        <f t="shared" si="125"/>
        <v>0</v>
      </c>
      <c r="G63" s="56">
        <f t="shared" si="125"/>
        <v>0</v>
      </c>
      <c r="H63" s="56">
        <f t="shared" si="125"/>
        <v>0</v>
      </c>
      <c r="I63" s="56">
        <f t="shared" si="125"/>
        <v>0</v>
      </c>
      <c r="J63" s="56">
        <f t="shared" si="125"/>
        <v>0</v>
      </c>
      <c r="K63" s="56">
        <f t="shared" si="125"/>
        <v>0</v>
      </c>
      <c r="L63" s="56">
        <f t="shared" si="125"/>
        <v>0</v>
      </c>
      <c r="M63" s="56">
        <f t="shared" si="125"/>
        <v>0</v>
      </c>
      <c r="N63" s="56">
        <f t="shared" si="125"/>
        <v>0</v>
      </c>
      <c r="O63" s="56">
        <f t="shared" si="125"/>
        <v>0</v>
      </c>
      <c r="P63" s="56">
        <f t="shared" si="125"/>
        <v>0</v>
      </c>
      <c r="Q63" s="56">
        <f t="shared" si="125"/>
        <v>0</v>
      </c>
      <c r="R63" s="56">
        <f t="shared" si="125"/>
        <v>0</v>
      </c>
      <c r="S63" s="56">
        <f t="shared" si="125"/>
        <v>0</v>
      </c>
      <c r="T63" s="56">
        <f t="shared" si="125"/>
        <v>0</v>
      </c>
      <c r="Z63" s="15"/>
      <c r="AE63" s="15"/>
      <c r="AJ63" s="15"/>
      <c r="AO63" s="15"/>
      <c r="AT63" s="15"/>
      <c r="AY63" s="15"/>
    </row>
    <row r="64" ht="15.75" customHeight="1">
      <c r="Z64" s="15"/>
      <c r="AE64" s="15"/>
      <c r="AJ64" s="15"/>
      <c r="AO64" s="15"/>
      <c r="AT64" s="15"/>
      <c r="AY64" s="15"/>
    </row>
    <row r="65" ht="15.75" customHeight="1">
      <c r="A65" s="1" t="s">
        <v>132</v>
      </c>
      <c r="B65" s="1" t="s">
        <v>123</v>
      </c>
      <c r="C65" s="16" t="s">
        <v>75</v>
      </c>
      <c r="D65" s="16" t="s">
        <v>76</v>
      </c>
      <c r="E65" s="16" t="s">
        <v>78</v>
      </c>
      <c r="F65" s="16" t="s">
        <v>79</v>
      </c>
      <c r="G65" s="18" t="s">
        <v>80</v>
      </c>
      <c r="H65" s="18" t="s">
        <v>81</v>
      </c>
      <c r="I65" s="16" t="s">
        <v>83</v>
      </c>
      <c r="J65" s="18" t="s">
        <v>84</v>
      </c>
      <c r="K65" s="18" t="s">
        <v>85</v>
      </c>
      <c r="L65" s="18" t="s">
        <v>86</v>
      </c>
      <c r="M65" s="18" t="s">
        <v>88</v>
      </c>
      <c r="N65" s="18" t="s">
        <v>89</v>
      </c>
      <c r="O65" s="18" t="s">
        <v>90</v>
      </c>
      <c r="P65" s="18" t="s">
        <v>91</v>
      </c>
      <c r="Q65" s="16" t="s">
        <v>93</v>
      </c>
      <c r="R65" s="16" t="s">
        <v>94</v>
      </c>
      <c r="S65" s="18" t="s">
        <v>95</v>
      </c>
      <c r="T65" s="18" t="s">
        <v>96</v>
      </c>
      <c r="Z65" s="15"/>
      <c r="AE65" s="15"/>
      <c r="AJ65" s="15"/>
      <c r="AO65" s="15"/>
      <c r="AT65" s="15"/>
      <c r="AY65" s="15"/>
    </row>
    <row r="66" ht="15.75" customHeight="1">
      <c r="A66" s="3" t="s">
        <v>124</v>
      </c>
      <c r="B66" s="14">
        <v>1.0</v>
      </c>
      <c r="C66" s="55">
        <v>0.03</v>
      </c>
      <c r="D66" s="55">
        <v>0.03</v>
      </c>
      <c r="E66" s="55">
        <v>0.3</v>
      </c>
      <c r="F66" s="55">
        <v>0.25</v>
      </c>
      <c r="G66" s="55">
        <v>0.25</v>
      </c>
      <c r="H66" s="55">
        <v>0.25</v>
      </c>
      <c r="I66" s="55">
        <v>0.03</v>
      </c>
      <c r="J66" s="55">
        <v>0.03</v>
      </c>
      <c r="K66" s="55">
        <v>0.03</v>
      </c>
      <c r="L66" s="55">
        <v>0.03</v>
      </c>
      <c r="M66" s="55">
        <v>0.03</v>
      </c>
      <c r="N66" s="55">
        <v>0.03</v>
      </c>
      <c r="O66" s="55">
        <v>0.03</v>
      </c>
      <c r="P66" s="55">
        <v>0.03</v>
      </c>
      <c r="Q66" s="55">
        <v>0.03</v>
      </c>
      <c r="R66" s="55">
        <v>0.03</v>
      </c>
      <c r="S66" s="55">
        <v>0.03</v>
      </c>
      <c r="T66" s="55">
        <v>0.03</v>
      </c>
      <c r="Z66" s="15"/>
      <c r="AE66" s="15"/>
      <c r="AJ66" s="15"/>
      <c r="AO66" s="15"/>
      <c r="AT66" s="15"/>
      <c r="AY66" s="15"/>
    </row>
    <row r="67" ht="15.75" customHeight="1">
      <c r="A67" s="3" t="s">
        <v>125</v>
      </c>
      <c r="B67" s="14">
        <v>2.0</v>
      </c>
      <c r="C67" s="55">
        <v>0.0</v>
      </c>
      <c r="D67" s="55">
        <v>0.0</v>
      </c>
      <c r="E67" s="55">
        <v>0.15</v>
      </c>
      <c r="F67" s="55">
        <v>0.1</v>
      </c>
      <c r="G67" s="55">
        <v>0.1</v>
      </c>
      <c r="H67" s="55">
        <v>0.1</v>
      </c>
      <c r="I67" s="55">
        <v>0.0</v>
      </c>
      <c r="J67" s="55">
        <v>0.0</v>
      </c>
      <c r="K67" s="55">
        <v>0.0</v>
      </c>
      <c r="L67" s="55">
        <v>0.0</v>
      </c>
      <c r="M67" s="55">
        <v>0.0</v>
      </c>
      <c r="N67" s="55">
        <v>0.0</v>
      </c>
      <c r="O67" s="55">
        <v>0.0</v>
      </c>
      <c r="P67" s="55">
        <v>0.0</v>
      </c>
      <c r="Q67" s="55">
        <v>0.0</v>
      </c>
      <c r="R67" s="55">
        <v>0.0</v>
      </c>
      <c r="S67" s="55">
        <v>0.0</v>
      </c>
      <c r="T67" s="55">
        <v>0.0</v>
      </c>
      <c r="Z67" s="15"/>
      <c r="AE67" s="15"/>
      <c r="AJ67" s="15"/>
      <c r="AO67" s="15"/>
      <c r="AT67" s="15"/>
      <c r="AY67" s="15"/>
    </row>
    <row r="68" ht="15.75" customHeight="1">
      <c r="A68" s="3" t="s">
        <v>126</v>
      </c>
      <c r="B68" s="14">
        <v>3.0</v>
      </c>
      <c r="C68" s="55">
        <v>0.02</v>
      </c>
      <c r="D68" s="55">
        <v>0.02</v>
      </c>
      <c r="E68" s="55">
        <v>0.1</v>
      </c>
      <c r="F68" s="55">
        <v>0.1</v>
      </c>
      <c r="G68" s="55">
        <v>0.2</v>
      </c>
      <c r="H68" s="55">
        <v>0.2</v>
      </c>
      <c r="I68" s="55">
        <v>0.02</v>
      </c>
      <c r="J68" s="55">
        <v>0.02</v>
      </c>
      <c r="K68" s="55">
        <v>0.02</v>
      </c>
      <c r="L68" s="55">
        <v>0.02</v>
      </c>
      <c r="M68" s="55">
        <v>0.02</v>
      </c>
      <c r="N68" s="55">
        <v>0.02</v>
      </c>
      <c r="O68" s="55">
        <v>0.02</v>
      </c>
      <c r="P68" s="55">
        <v>0.02</v>
      </c>
      <c r="Q68" s="55">
        <v>0.02</v>
      </c>
      <c r="R68" s="55">
        <v>0.02</v>
      </c>
      <c r="S68" s="55">
        <v>0.02</v>
      </c>
      <c r="T68" s="55">
        <v>0.02</v>
      </c>
      <c r="Z68" s="15"/>
      <c r="AE68" s="15"/>
      <c r="AJ68" s="15"/>
      <c r="AO68" s="15"/>
      <c r="AT68" s="15"/>
      <c r="AY68" s="15"/>
    </row>
    <row r="69" ht="15.75" customHeight="1">
      <c r="A69" s="3" t="s">
        <v>127</v>
      </c>
      <c r="B69" s="14">
        <v>4.0</v>
      </c>
      <c r="C69" s="55">
        <v>0.04</v>
      </c>
      <c r="D69" s="55">
        <v>0.04</v>
      </c>
      <c r="E69" s="55">
        <v>0.35</v>
      </c>
      <c r="F69" s="55">
        <v>0.275</v>
      </c>
      <c r="G69" s="55">
        <v>0.275</v>
      </c>
      <c r="H69" s="55">
        <v>0.275</v>
      </c>
      <c r="I69" s="55">
        <v>0.04</v>
      </c>
      <c r="J69" s="55">
        <v>0.04</v>
      </c>
      <c r="K69" s="55">
        <v>0.04</v>
      </c>
      <c r="L69" s="55">
        <v>0.04</v>
      </c>
      <c r="M69" s="55">
        <v>0.04</v>
      </c>
      <c r="N69" s="55">
        <v>0.04</v>
      </c>
      <c r="O69" s="55">
        <v>0.04</v>
      </c>
      <c r="P69" s="55">
        <v>0.04</v>
      </c>
      <c r="Q69" s="55">
        <v>0.04</v>
      </c>
      <c r="R69" s="55">
        <v>0.04</v>
      </c>
      <c r="S69" s="55">
        <v>0.04</v>
      </c>
      <c r="T69" s="55">
        <v>0.04</v>
      </c>
      <c r="Z69" s="15"/>
      <c r="AE69" s="15"/>
      <c r="AJ69" s="15"/>
      <c r="AO69" s="15"/>
      <c r="AT69" s="15"/>
      <c r="AY69" s="15"/>
    </row>
    <row r="70" ht="15.75" customHeight="1">
      <c r="A70" s="3" t="s">
        <v>128</v>
      </c>
      <c r="B70" s="14">
        <v>5.0</v>
      </c>
      <c r="C70" s="55">
        <v>0.05</v>
      </c>
      <c r="D70" s="55">
        <v>0.05</v>
      </c>
      <c r="E70" s="55">
        <v>0.35</v>
      </c>
      <c r="F70" s="55">
        <v>0.3</v>
      </c>
      <c r="G70" s="55">
        <v>0.3</v>
      </c>
      <c r="H70" s="55">
        <v>0.3</v>
      </c>
      <c r="I70" s="55">
        <v>0.05</v>
      </c>
      <c r="J70" s="55">
        <v>0.05</v>
      </c>
      <c r="K70" s="55">
        <v>0.05</v>
      </c>
      <c r="L70" s="55">
        <v>0.05</v>
      </c>
      <c r="M70" s="55">
        <v>0.05</v>
      </c>
      <c r="N70" s="55">
        <v>0.05</v>
      </c>
      <c r="O70" s="55">
        <v>0.05</v>
      </c>
      <c r="P70" s="55">
        <v>0.05</v>
      </c>
      <c r="Q70" s="55">
        <v>0.05</v>
      </c>
      <c r="R70" s="55">
        <v>0.05</v>
      </c>
      <c r="S70" s="55">
        <v>0.05</v>
      </c>
      <c r="T70" s="55">
        <v>0.05</v>
      </c>
      <c r="Z70" s="15"/>
      <c r="AE70" s="15"/>
      <c r="AJ70" s="15"/>
      <c r="AO70" s="15"/>
      <c r="AT70" s="15"/>
      <c r="AY70" s="15"/>
    </row>
    <row r="71" ht="15.75" customHeight="1">
      <c r="A71" s="1" t="s">
        <v>132</v>
      </c>
      <c r="B71" s="33">
        <f>C6</f>
        <v>1</v>
      </c>
      <c r="C71" s="56">
        <f t="shared" ref="C71:T71" si="126">IFS($C$6=$B66,C66, $C$6=$B67,C67,$C$6=$B68,C68,$C$6=$B69,C69,$C$6=$B70,C70)</f>
        <v>0.03</v>
      </c>
      <c r="D71" s="56">
        <f t="shared" si="126"/>
        <v>0.03</v>
      </c>
      <c r="E71" s="56">
        <f t="shared" si="126"/>
        <v>0.3</v>
      </c>
      <c r="F71" s="56">
        <f t="shared" si="126"/>
        <v>0.25</v>
      </c>
      <c r="G71" s="56">
        <f t="shared" si="126"/>
        <v>0.25</v>
      </c>
      <c r="H71" s="56">
        <f t="shared" si="126"/>
        <v>0.25</v>
      </c>
      <c r="I71" s="56">
        <f t="shared" si="126"/>
        <v>0.03</v>
      </c>
      <c r="J71" s="56">
        <f t="shared" si="126"/>
        <v>0.03</v>
      </c>
      <c r="K71" s="56">
        <f t="shared" si="126"/>
        <v>0.03</v>
      </c>
      <c r="L71" s="56">
        <f t="shared" si="126"/>
        <v>0.03</v>
      </c>
      <c r="M71" s="56">
        <f t="shared" si="126"/>
        <v>0.03</v>
      </c>
      <c r="N71" s="56">
        <f t="shared" si="126"/>
        <v>0.03</v>
      </c>
      <c r="O71" s="56">
        <f t="shared" si="126"/>
        <v>0.03</v>
      </c>
      <c r="P71" s="56">
        <f t="shared" si="126"/>
        <v>0.03</v>
      </c>
      <c r="Q71" s="56">
        <f t="shared" si="126"/>
        <v>0.03</v>
      </c>
      <c r="R71" s="56">
        <f t="shared" si="126"/>
        <v>0.03</v>
      </c>
      <c r="S71" s="56">
        <f t="shared" si="126"/>
        <v>0.03</v>
      </c>
      <c r="T71" s="56">
        <f t="shared" si="126"/>
        <v>0.03</v>
      </c>
      <c r="Z71" s="15"/>
      <c r="AE71" s="15"/>
      <c r="AJ71" s="15"/>
      <c r="AO71" s="15"/>
      <c r="AT71" s="15"/>
      <c r="AY71" s="15"/>
    </row>
    <row r="72" ht="15.75" customHeight="1">
      <c r="Z72" s="15"/>
      <c r="AE72" s="15"/>
      <c r="AJ72" s="15"/>
      <c r="AO72" s="15"/>
      <c r="AT72" s="15"/>
      <c r="AY72" s="15"/>
    </row>
    <row r="73" ht="15.75" customHeight="1">
      <c r="Z73" s="15"/>
      <c r="AE73" s="15"/>
      <c r="AJ73" s="15"/>
      <c r="AO73" s="15"/>
      <c r="AT73" s="15"/>
      <c r="AY73" s="15"/>
    </row>
    <row r="74" ht="15.75" customHeight="1">
      <c r="Z74" s="15"/>
      <c r="AE74" s="15"/>
      <c r="AJ74" s="15"/>
      <c r="AO74" s="15"/>
      <c r="AT74" s="15"/>
      <c r="AY74" s="15"/>
    </row>
    <row r="75" ht="15.75" customHeight="1">
      <c r="Z75" s="15"/>
      <c r="AE75" s="15"/>
      <c r="AJ75" s="15"/>
      <c r="AO75" s="15"/>
      <c r="AT75" s="15"/>
      <c r="AY75" s="15"/>
    </row>
    <row r="76" ht="15.75" customHeight="1">
      <c r="Z76" s="15"/>
      <c r="AE76" s="15"/>
      <c r="AJ76" s="15"/>
      <c r="AO76" s="15"/>
      <c r="AT76" s="15"/>
      <c r="AY76" s="15"/>
    </row>
    <row r="77" ht="15.75" customHeight="1">
      <c r="Z77" s="15"/>
      <c r="AE77" s="15"/>
      <c r="AJ77" s="15"/>
      <c r="AO77" s="15"/>
      <c r="AT77" s="15"/>
      <c r="AY77" s="15"/>
    </row>
    <row r="78" ht="15.75" customHeight="1">
      <c r="Z78" s="15"/>
      <c r="AE78" s="15"/>
      <c r="AJ78" s="15"/>
      <c r="AO78" s="15"/>
      <c r="AT78" s="15"/>
      <c r="AY78" s="15"/>
    </row>
    <row r="79" ht="15.75" customHeight="1">
      <c r="Z79" s="15"/>
      <c r="AE79" s="15"/>
      <c r="AJ79" s="15"/>
      <c r="AO79" s="15"/>
      <c r="AT79" s="15"/>
      <c r="AY79" s="15"/>
    </row>
    <row r="80" ht="15.75" customHeight="1">
      <c r="Z80" s="15"/>
      <c r="AE80" s="15"/>
      <c r="AJ80" s="15"/>
      <c r="AO80" s="15"/>
      <c r="AT80" s="15"/>
      <c r="AY80" s="15"/>
    </row>
    <row r="81" ht="15.75" customHeight="1">
      <c r="Z81" s="15"/>
      <c r="AE81" s="15"/>
      <c r="AJ81" s="15"/>
      <c r="AO81" s="15"/>
      <c r="AT81" s="15"/>
      <c r="AY81" s="15"/>
    </row>
    <row r="82" ht="15.75" customHeight="1">
      <c r="Z82" s="15"/>
      <c r="AE82" s="15"/>
      <c r="AJ82" s="15"/>
      <c r="AO82" s="15"/>
      <c r="AT82" s="15"/>
      <c r="AY82" s="15"/>
    </row>
    <row r="83" ht="15.75" customHeight="1">
      <c r="Z83" s="15"/>
      <c r="AE83" s="15"/>
      <c r="AJ83" s="15"/>
      <c r="AO83" s="15"/>
      <c r="AT83" s="15"/>
      <c r="AY83" s="15"/>
    </row>
    <row r="84" ht="15.75" customHeight="1">
      <c r="Z84" s="15"/>
      <c r="AE84" s="15"/>
      <c r="AJ84" s="15"/>
      <c r="AO84" s="15"/>
      <c r="AT84" s="15"/>
      <c r="AY84" s="15"/>
    </row>
    <row r="85" ht="15.75" customHeight="1">
      <c r="Z85" s="15"/>
      <c r="AE85" s="15"/>
      <c r="AJ85" s="15"/>
      <c r="AO85" s="15"/>
      <c r="AT85" s="15"/>
      <c r="AY85" s="15"/>
    </row>
    <row r="86" ht="15.75" customHeight="1">
      <c r="Z86" s="15"/>
      <c r="AE86" s="15"/>
      <c r="AJ86" s="15"/>
      <c r="AO86" s="15"/>
      <c r="AT86" s="15"/>
      <c r="AY86" s="15"/>
    </row>
    <row r="87" ht="15.75" customHeight="1">
      <c r="Z87" s="15"/>
      <c r="AE87" s="15"/>
      <c r="AJ87" s="15"/>
      <c r="AO87" s="15"/>
      <c r="AT87" s="15"/>
      <c r="AY87" s="15"/>
    </row>
    <row r="88" ht="15.75" customHeight="1">
      <c r="Z88" s="15"/>
      <c r="AE88" s="15"/>
      <c r="AJ88" s="15"/>
      <c r="AO88" s="15"/>
      <c r="AT88" s="15"/>
      <c r="AY88" s="15"/>
    </row>
    <row r="89" ht="15.75" customHeight="1">
      <c r="Z89" s="15"/>
      <c r="AE89" s="15"/>
      <c r="AJ89" s="15"/>
      <c r="AO89" s="15"/>
      <c r="AT89" s="15"/>
      <c r="AY89" s="15"/>
    </row>
    <row r="90" ht="15.75" customHeight="1">
      <c r="Z90" s="15"/>
      <c r="AE90" s="15"/>
      <c r="AJ90" s="15"/>
      <c r="AO90" s="15"/>
      <c r="AT90" s="15"/>
      <c r="AY90" s="15"/>
    </row>
    <row r="91" ht="15.75" customHeight="1">
      <c r="Z91" s="15"/>
      <c r="AE91" s="15"/>
      <c r="AJ91" s="15"/>
      <c r="AO91" s="15"/>
      <c r="AT91" s="15"/>
      <c r="AY91" s="15"/>
    </row>
    <row r="92" ht="15.75" customHeight="1">
      <c r="Z92" s="15"/>
      <c r="AE92" s="15"/>
      <c r="AJ92" s="15"/>
      <c r="AO92" s="15"/>
      <c r="AT92" s="15"/>
      <c r="AY92" s="15"/>
    </row>
    <row r="93" ht="15.75" customHeight="1">
      <c r="Z93" s="15"/>
      <c r="AE93" s="15"/>
      <c r="AJ93" s="15"/>
      <c r="AO93" s="15"/>
      <c r="AT93" s="15"/>
      <c r="AY93" s="15"/>
    </row>
    <row r="94" ht="15.75" customHeight="1">
      <c r="Z94" s="15"/>
      <c r="AE94" s="15"/>
      <c r="AJ94" s="15"/>
      <c r="AO94" s="15"/>
      <c r="AT94" s="15"/>
      <c r="AY94" s="15"/>
    </row>
    <row r="95" ht="15.75" customHeight="1">
      <c r="Z95" s="15"/>
      <c r="AE95" s="15"/>
      <c r="AJ95" s="15"/>
      <c r="AO95" s="15"/>
      <c r="AT95" s="15"/>
      <c r="AY95" s="15"/>
    </row>
    <row r="96" ht="15.75" customHeight="1">
      <c r="Z96" s="15"/>
      <c r="AE96" s="15"/>
      <c r="AJ96" s="15"/>
      <c r="AO96" s="15"/>
      <c r="AT96" s="15"/>
      <c r="AY96" s="15"/>
    </row>
    <row r="97" ht="15.75" customHeight="1">
      <c r="Z97" s="15"/>
      <c r="AE97" s="15"/>
      <c r="AJ97" s="15"/>
      <c r="AO97" s="15"/>
      <c r="AT97" s="15"/>
      <c r="AY97" s="15"/>
    </row>
    <row r="98" ht="15.75" customHeight="1">
      <c r="Z98" s="15"/>
      <c r="AE98" s="15"/>
      <c r="AJ98" s="15"/>
      <c r="AO98" s="15"/>
      <c r="AT98" s="15"/>
      <c r="AY98" s="15"/>
    </row>
    <row r="99" ht="15.75" customHeight="1">
      <c r="Z99" s="15"/>
      <c r="AE99" s="15"/>
      <c r="AJ99" s="15"/>
      <c r="AO99" s="15"/>
      <c r="AT99" s="15"/>
      <c r="AY99" s="15"/>
    </row>
    <row r="100" ht="15.75" customHeight="1">
      <c r="Z100" s="15"/>
      <c r="AE100" s="15"/>
      <c r="AJ100" s="15"/>
      <c r="AO100" s="15"/>
      <c r="AT100" s="15"/>
      <c r="AY100" s="15"/>
    </row>
    <row r="101" ht="15.75" customHeight="1">
      <c r="Z101" s="15"/>
      <c r="AE101" s="15"/>
      <c r="AJ101" s="15"/>
      <c r="AO101" s="15"/>
      <c r="AT101" s="15"/>
      <c r="AY101" s="15"/>
    </row>
    <row r="102" ht="15.75" customHeight="1">
      <c r="Z102" s="15"/>
      <c r="AE102" s="15"/>
      <c r="AJ102" s="15"/>
      <c r="AO102" s="15"/>
      <c r="AT102" s="15"/>
      <c r="AY102" s="15"/>
    </row>
    <row r="103" ht="15.75" customHeight="1">
      <c r="Z103" s="15"/>
      <c r="AE103" s="15"/>
      <c r="AJ103" s="15"/>
      <c r="AO103" s="15"/>
      <c r="AT103" s="15"/>
      <c r="AY103" s="15"/>
    </row>
    <row r="104" ht="15.75" customHeight="1">
      <c r="Z104" s="15"/>
      <c r="AE104" s="15"/>
      <c r="AJ104" s="15"/>
      <c r="AO104" s="15"/>
      <c r="AT104" s="15"/>
      <c r="AY104" s="15"/>
    </row>
    <row r="105" ht="15.75" customHeight="1">
      <c r="Z105" s="15"/>
      <c r="AE105" s="15"/>
      <c r="AJ105" s="15"/>
      <c r="AO105" s="15"/>
      <c r="AT105" s="15"/>
      <c r="AY105" s="15"/>
    </row>
    <row r="106" ht="15.75" customHeight="1">
      <c r="Z106" s="15"/>
      <c r="AE106" s="15"/>
      <c r="AJ106" s="15"/>
      <c r="AO106" s="15"/>
      <c r="AT106" s="15"/>
      <c r="AY106" s="15"/>
    </row>
    <row r="107" ht="15.75" customHeight="1">
      <c r="Z107" s="15"/>
      <c r="AE107" s="15"/>
      <c r="AJ107" s="15"/>
      <c r="AO107" s="15"/>
      <c r="AT107" s="15"/>
      <c r="AY107" s="15"/>
    </row>
    <row r="108" ht="15.75" customHeight="1">
      <c r="Z108" s="15"/>
      <c r="AE108" s="15"/>
      <c r="AJ108" s="15"/>
      <c r="AO108" s="15"/>
      <c r="AT108" s="15"/>
      <c r="AY108" s="15"/>
    </row>
    <row r="109" ht="15.75" customHeight="1">
      <c r="Z109" s="15"/>
      <c r="AE109" s="15"/>
      <c r="AJ109" s="15"/>
      <c r="AO109" s="15"/>
      <c r="AT109" s="15"/>
      <c r="AY109" s="15"/>
    </row>
    <row r="110" ht="15.75" customHeight="1">
      <c r="Z110" s="15"/>
      <c r="AE110" s="15"/>
      <c r="AJ110" s="15"/>
      <c r="AO110" s="15"/>
      <c r="AT110" s="15"/>
      <c r="AY110" s="15"/>
    </row>
    <row r="111" ht="15.75" customHeight="1">
      <c r="Z111" s="15"/>
      <c r="AE111" s="15"/>
      <c r="AJ111" s="15"/>
      <c r="AO111" s="15"/>
      <c r="AT111" s="15"/>
      <c r="AY111" s="15"/>
    </row>
    <row r="112" ht="15.75" customHeight="1">
      <c r="Z112" s="15"/>
      <c r="AE112" s="15"/>
      <c r="AJ112" s="15"/>
      <c r="AO112" s="15"/>
      <c r="AT112" s="15"/>
      <c r="AY112" s="15"/>
    </row>
    <row r="113" ht="15.75" customHeight="1">
      <c r="Z113" s="15"/>
      <c r="AE113" s="15"/>
      <c r="AJ113" s="15"/>
      <c r="AO113" s="15"/>
      <c r="AT113" s="15"/>
      <c r="AY113" s="15"/>
    </row>
    <row r="114" ht="15.75" customHeight="1">
      <c r="Z114" s="15"/>
      <c r="AE114" s="15"/>
      <c r="AJ114" s="15"/>
      <c r="AO114" s="15"/>
      <c r="AT114" s="15"/>
      <c r="AY114" s="15"/>
    </row>
    <row r="115" ht="15.75" customHeight="1">
      <c r="Z115" s="15"/>
      <c r="AE115" s="15"/>
      <c r="AJ115" s="15"/>
      <c r="AO115" s="15"/>
      <c r="AT115" s="15"/>
      <c r="AY115" s="15"/>
    </row>
    <row r="116" ht="15.75" customHeight="1">
      <c r="Z116" s="15"/>
      <c r="AE116" s="15"/>
      <c r="AJ116" s="15"/>
      <c r="AO116" s="15"/>
      <c r="AT116" s="15"/>
      <c r="AY116" s="15"/>
    </row>
    <row r="117" ht="15.75" customHeight="1">
      <c r="Z117" s="15"/>
      <c r="AE117" s="15"/>
      <c r="AJ117" s="15"/>
      <c r="AO117" s="15"/>
      <c r="AT117" s="15"/>
      <c r="AY117" s="15"/>
    </row>
    <row r="118" ht="15.75" customHeight="1">
      <c r="Z118" s="15"/>
      <c r="AE118" s="15"/>
      <c r="AJ118" s="15"/>
      <c r="AO118" s="15"/>
      <c r="AT118" s="15"/>
      <c r="AY118" s="15"/>
    </row>
    <row r="119" ht="15.75" customHeight="1">
      <c r="Z119" s="15"/>
      <c r="AE119" s="15"/>
      <c r="AJ119" s="15"/>
      <c r="AO119" s="15"/>
      <c r="AT119" s="15"/>
      <c r="AY119" s="15"/>
    </row>
    <row r="120" ht="15.75" customHeight="1">
      <c r="Z120" s="15"/>
      <c r="AE120" s="15"/>
      <c r="AJ120" s="15"/>
      <c r="AO120" s="15"/>
      <c r="AT120" s="15"/>
      <c r="AY120" s="15"/>
    </row>
    <row r="121" ht="15.75" customHeight="1">
      <c r="Z121" s="15"/>
      <c r="AE121" s="15"/>
      <c r="AJ121" s="15"/>
      <c r="AO121" s="15"/>
      <c r="AT121" s="15"/>
      <c r="AY121" s="15"/>
    </row>
    <row r="122" ht="15.75" customHeight="1">
      <c r="Z122" s="15"/>
      <c r="AE122" s="15"/>
      <c r="AJ122" s="15"/>
      <c r="AO122" s="15"/>
      <c r="AT122" s="15"/>
      <c r="AY122" s="15"/>
    </row>
    <row r="123" ht="15.75" customHeight="1">
      <c r="Z123" s="15"/>
      <c r="AE123" s="15"/>
      <c r="AJ123" s="15"/>
      <c r="AO123" s="15"/>
      <c r="AT123" s="15"/>
      <c r="AY123" s="15"/>
    </row>
    <row r="124" ht="15.75" customHeight="1">
      <c r="Z124" s="15"/>
      <c r="AE124" s="15"/>
      <c r="AJ124" s="15"/>
      <c r="AO124" s="15"/>
      <c r="AT124" s="15"/>
      <c r="AY124" s="15"/>
    </row>
    <row r="125" ht="15.75" customHeight="1">
      <c r="Z125" s="15"/>
      <c r="AE125" s="15"/>
      <c r="AJ125" s="15"/>
      <c r="AO125" s="15"/>
      <c r="AT125" s="15"/>
      <c r="AY125" s="15"/>
    </row>
    <row r="126" ht="15.75" customHeight="1">
      <c r="Z126" s="15"/>
      <c r="AE126" s="15"/>
      <c r="AJ126" s="15"/>
      <c r="AO126" s="15"/>
      <c r="AT126" s="15"/>
      <c r="AY126" s="15"/>
    </row>
    <row r="127" ht="15.75" customHeight="1">
      <c r="Z127" s="15"/>
      <c r="AE127" s="15"/>
      <c r="AJ127" s="15"/>
      <c r="AO127" s="15"/>
      <c r="AT127" s="15"/>
      <c r="AY127" s="15"/>
    </row>
    <row r="128" ht="15.75" customHeight="1">
      <c r="Z128" s="15"/>
      <c r="AE128" s="15"/>
      <c r="AJ128" s="15"/>
      <c r="AO128" s="15"/>
      <c r="AT128" s="15"/>
      <c r="AY128" s="15"/>
    </row>
    <row r="129" ht="15.75" customHeight="1">
      <c r="Z129" s="15"/>
      <c r="AE129" s="15"/>
      <c r="AJ129" s="15"/>
      <c r="AO129" s="15"/>
      <c r="AT129" s="15"/>
      <c r="AY129" s="15"/>
    </row>
    <row r="130" ht="15.75" customHeight="1">
      <c r="Z130" s="15"/>
      <c r="AE130" s="15"/>
      <c r="AJ130" s="15"/>
      <c r="AO130" s="15"/>
      <c r="AT130" s="15"/>
      <c r="AY130" s="15"/>
    </row>
    <row r="131" ht="15.75" customHeight="1">
      <c r="Z131" s="15"/>
      <c r="AE131" s="15"/>
      <c r="AJ131" s="15"/>
      <c r="AO131" s="15"/>
      <c r="AT131" s="15"/>
      <c r="AY131" s="15"/>
    </row>
    <row r="132" ht="15.75" customHeight="1">
      <c r="Z132" s="15"/>
      <c r="AE132" s="15"/>
      <c r="AJ132" s="15"/>
      <c r="AO132" s="15"/>
      <c r="AT132" s="15"/>
      <c r="AY132" s="15"/>
    </row>
    <row r="133" ht="15.75" customHeight="1">
      <c r="Z133" s="15"/>
      <c r="AE133" s="15"/>
      <c r="AJ133" s="15"/>
      <c r="AO133" s="15"/>
      <c r="AT133" s="15"/>
      <c r="AY133" s="15"/>
    </row>
    <row r="134" ht="15.75" customHeight="1">
      <c r="Z134" s="15"/>
      <c r="AE134" s="15"/>
      <c r="AJ134" s="15"/>
      <c r="AO134" s="15"/>
      <c r="AT134" s="15"/>
      <c r="AY134" s="15"/>
    </row>
    <row r="135" ht="15.75" customHeight="1">
      <c r="Z135" s="15"/>
      <c r="AE135" s="15"/>
      <c r="AJ135" s="15"/>
      <c r="AO135" s="15"/>
      <c r="AT135" s="15"/>
      <c r="AY135" s="15"/>
    </row>
    <row r="136" ht="15.75" customHeight="1">
      <c r="Z136" s="15"/>
      <c r="AE136" s="15"/>
      <c r="AJ136" s="15"/>
      <c r="AO136" s="15"/>
      <c r="AT136" s="15"/>
      <c r="AY136" s="15"/>
    </row>
    <row r="137" ht="15.75" customHeight="1">
      <c r="Z137" s="15"/>
      <c r="AE137" s="15"/>
      <c r="AJ137" s="15"/>
      <c r="AO137" s="15"/>
      <c r="AT137" s="15"/>
      <c r="AY137" s="15"/>
    </row>
    <row r="138" ht="15.75" customHeight="1">
      <c r="Z138" s="15"/>
      <c r="AE138" s="15"/>
      <c r="AJ138" s="15"/>
      <c r="AO138" s="15"/>
      <c r="AT138" s="15"/>
      <c r="AY138" s="15"/>
    </row>
    <row r="139" ht="15.75" customHeight="1">
      <c r="Z139" s="15"/>
      <c r="AE139" s="15"/>
      <c r="AJ139" s="15"/>
      <c r="AO139" s="15"/>
      <c r="AT139" s="15"/>
      <c r="AY139" s="15"/>
    </row>
    <row r="140" ht="15.75" customHeight="1">
      <c r="Z140" s="15"/>
      <c r="AE140" s="15"/>
      <c r="AJ140" s="15"/>
      <c r="AO140" s="15"/>
      <c r="AT140" s="15"/>
      <c r="AY140" s="15"/>
    </row>
    <row r="141" ht="15.75" customHeight="1">
      <c r="Z141" s="15"/>
      <c r="AE141" s="15"/>
      <c r="AJ141" s="15"/>
      <c r="AO141" s="15"/>
      <c r="AT141" s="15"/>
      <c r="AY141" s="15"/>
    </row>
    <row r="142" ht="15.75" customHeight="1">
      <c r="Z142" s="15"/>
      <c r="AE142" s="15"/>
      <c r="AJ142" s="15"/>
      <c r="AO142" s="15"/>
      <c r="AT142" s="15"/>
      <c r="AY142" s="15"/>
    </row>
    <row r="143" ht="15.75" customHeight="1">
      <c r="Z143" s="15"/>
      <c r="AE143" s="15"/>
      <c r="AJ143" s="15"/>
      <c r="AO143" s="15"/>
      <c r="AT143" s="15"/>
      <c r="AY143" s="15"/>
    </row>
    <row r="144" ht="15.75" customHeight="1">
      <c r="Z144" s="15"/>
      <c r="AE144" s="15"/>
      <c r="AJ144" s="15"/>
      <c r="AO144" s="15"/>
      <c r="AT144" s="15"/>
      <c r="AY144" s="15"/>
    </row>
    <row r="145" ht="15.75" customHeight="1">
      <c r="Z145" s="15"/>
      <c r="AE145" s="15"/>
      <c r="AJ145" s="15"/>
      <c r="AO145" s="15"/>
      <c r="AT145" s="15"/>
      <c r="AY145" s="15"/>
    </row>
    <row r="146" ht="15.75" customHeight="1">
      <c r="Z146" s="15"/>
      <c r="AE146" s="15"/>
      <c r="AJ146" s="15"/>
      <c r="AO146" s="15"/>
      <c r="AT146" s="15"/>
      <c r="AY146" s="15"/>
    </row>
    <row r="147" ht="15.75" customHeight="1">
      <c r="Z147" s="15"/>
      <c r="AE147" s="15"/>
      <c r="AJ147" s="15"/>
      <c r="AO147" s="15"/>
      <c r="AT147" s="15"/>
      <c r="AY147" s="15"/>
    </row>
    <row r="148" ht="15.75" customHeight="1">
      <c r="Z148" s="15"/>
      <c r="AE148" s="15"/>
      <c r="AJ148" s="15"/>
      <c r="AO148" s="15"/>
      <c r="AT148" s="15"/>
      <c r="AY148" s="15"/>
    </row>
    <row r="149" ht="15.75" customHeight="1">
      <c r="Z149" s="15"/>
      <c r="AE149" s="15"/>
      <c r="AJ149" s="15"/>
      <c r="AO149" s="15"/>
      <c r="AT149" s="15"/>
      <c r="AY149" s="15"/>
    </row>
    <row r="150" ht="15.75" customHeight="1">
      <c r="Z150" s="15"/>
      <c r="AE150" s="15"/>
      <c r="AJ150" s="15"/>
      <c r="AO150" s="15"/>
      <c r="AT150" s="15"/>
      <c r="AY150" s="15"/>
    </row>
    <row r="151" ht="15.75" customHeight="1">
      <c r="Z151" s="15"/>
      <c r="AE151" s="15"/>
      <c r="AJ151" s="15"/>
      <c r="AO151" s="15"/>
      <c r="AT151" s="15"/>
      <c r="AY151" s="15"/>
    </row>
    <row r="152" ht="15.75" customHeight="1">
      <c r="Z152" s="15"/>
      <c r="AE152" s="15"/>
      <c r="AJ152" s="15"/>
      <c r="AO152" s="15"/>
      <c r="AT152" s="15"/>
      <c r="AY152" s="15"/>
    </row>
    <row r="153" ht="15.75" customHeight="1">
      <c r="Z153" s="15"/>
      <c r="AE153" s="15"/>
      <c r="AJ153" s="15"/>
      <c r="AO153" s="15"/>
      <c r="AT153" s="15"/>
      <c r="AY153" s="15"/>
    </row>
    <row r="154" ht="15.75" customHeight="1">
      <c r="Z154" s="15"/>
      <c r="AE154" s="15"/>
      <c r="AJ154" s="15"/>
      <c r="AO154" s="15"/>
      <c r="AT154" s="15"/>
      <c r="AY154" s="15"/>
    </row>
    <row r="155" ht="15.75" customHeight="1">
      <c r="Z155" s="15"/>
      <c r="AE155" s="15"/>
      <c r="AJ155" s="15"/>
      <c r="AO155" s="15"/>
      <c r="AT155" s="15"/>
      <c r="AY155" s="15"/>
    </row>
    <row r="156" ht="15.75" customHeight="1">
      <c r="Z156" s="15"/>
      <c r="AE156" s="15"/>
      <c r="AJ156" s="15"/>
      <c r="AO156" s="15"/>
      <c r="AT156" s="15"/>
      <c r="AY156" s="15"/>
    </row>
    <row r="157" ht="15.75" customHeight="1">
      <c r="Z157" s="15"/>
      <c r="AE157" s="15"/>
      <c r="AJ157" s="15"/>
      <c r="AO157" s="15"/>
      <c r="AT157" s="15"/>
      <c r="AY157" s="15"/>
    </row>
    <row r="158" ht="15.75" customHeight="1">
      <c r="Z158" s="15"/>
      <c r="AE158" s="15"/>
      <c r="AJ158" s="15"/>
      <c r="AO158" s="15"/>
      <c r="AT158" s="15"/>
      <c r="AY158" s="15"/>
    </row>
    <row r="159" ht="15.75" customHeight="1">
      <c r="Z159" s="15"/>
      <c r="AE159" s="15"/>
      <c r="AJ159" s="15"/>
      <c r="AO159" s="15"/>
      <c r="AT159" s="15"/>
      <c r="AY159" s="15"/>
    </row>
    <row r="160" ht="15.75" customHeight="1">
      <c r="Z160" s="15"/>
      <c r="AE160" s="15"/>
      <c r="AJ160" s="15"/>
      <c r="AO160" s="15"/>
      <c r="AT160" s="15"/>
      <c r="AY160" s="15"/>
    </row>
    <row r="161" ht="15.75" customHeight="1">
      <c r="Z161" s="15"/>
      <c r="AE161" s="15"/>
      <c r="AJ161" s="15"/>
      <c r="AO161" s="15"/>
      <c r="AT161" s="15"/>
      <c r="AY161" s="15"/>
    </row>
    <row r="162" ht="15.75" customHeight="1">
      <c r="Z162" s="15"/>
      <c r="AE162" s="15"/>
      <c r="AJ162" s="15"/>
      <c r="AO162" s="15"/>
      <c r="AT162" s="15"/>
      <c r="AY162" s="15"/>
    </row>
    <row r="163" ht="15.75" customHeight="1">
      <c r="Z163" s="15"/>
      <c r="AE163" s="15"/>
      <c r="AJ163" s="15"/>
      <c r="AO163" s="15"/>
      <c r="AT163" s="15"/>
      <c r="AY163" s="15"/>
    </row>
    <row r="164" ht="15.75" customHeight="1">
      <c r="Z164" s="15"/>
      <c r="AE164" s="15"/>
      <c r="AJ164" s="15"/>
      <c r="AO164" s="15"/>
      <c r="AT164" s="15"/>
      <c r="AY164" s="15"/>
    </row>
    <row r="165" ht="15.75" customHeight="1">
      <c r="Z165" s="15"/>
      <c r="AE165" s="15"/>
      <c r="AJ165" s="15"/>
      <c r="AO165" s="15"/>
      <c r="AT165" s="15"/>
      <c r="AY165" s="15"/>
    </row>
    <row r="166" ht="15.75" customHeight="1">
      <c r="Z166" s="15"/>
      <c r="AE166" s="15"/>
      <c r="AJ166" s="15"/>
      <c r="AO166" s="15"/>
      <c r="AT166" s="15"/>
      <c r="AY166" s="15"/>
    </row>
    <row r="167" ht="15.75" customHeight="1">
      <c r="Z167" s="15"/>
      <c r="AE167" s="15"/>
      <c r="AJ167" s="15"/>
      <c r="AO167" s="15"/>
      <c r="AT167" s="15"/>
      <c r="AY167" s="15"/>
    </row>
    <row r="168" ht="15.75" customHeight="1">
      <c r="Z168" s="15"/>
      <c r="AE168" s="15"/>
      <c r="AJ168" s="15"/>
      <c r="AO168" s="15"/>
      <c r="AT168" s="15"/>
      <c r="AY168" s="15"/>
    </row>
    <row r="169" ht="15.75" customHeight="1">
      <c r="Z169" s="15"/>
      <c r="AE169" s="15"/>
      <c r="AJ169" s="15"/>
      <c r="AO169" s="15"/>
      <c r="AT169" s="15"/>
      <c r="AY169" s="15"/>
    </row>
    <row r="170" ht="15.75" customHeight="1">
      <c r="Z170" s="15"/>
      <c r="AE170" s="15"/>
      <c r="AJ170" s="15"/>
      <c r="AO170" s="15"/>
      <c r="AT170" s="15"/>
      <c r="AY170" s="15"/>
    </row>
    <row r="171" ht="15.75" customHeight="1">
      <c r="Z171" s="15"/>
      <c r="AE171" s="15"/>
      <c r="AJ171" s="15"/>
      <c r="AO171" s="15"/>
      <c r="AT171" s="15"/>
      <c r="AY171" s="15"/>
    </row>
    <row r="172" ht="15.75" customHeight="1">
      <c r="Z172" s="15"/>
      <c r="AE172" s="15"/>
      <c r="AJ172" s="15"/>
      <c r="AO172" s="15"/>
      <c r="AT172" s="15"/>
      <c r="AY172" s="15"/>
    </row>
    <row r="173" ht="15.75" customHeight="1">
      <c r="Z173" s="15"/>
      <c r="AE173" s="15"/>
      <c r="AJ173" s="15"/>
      <c r="AO173" s="15"/>
      <c r="AT173" s="15"/>
      <c r="AY173" s="15"/>
    </row>
    <row r="174" ht="15.75" customHeight="1">
      <c r="Z174" s="15"/>
      <c r="AE174" s="15"/>
      <c r="AJ174" s="15"/>
      <c r="AO174" s="15"/>
      <c r="AT174" s="15"/>
      <c r="AY174" s="15"/>
    </row>
    <row r="175" ht="15.75" customHeight="1">
      <c r="Z175" s="15"/>
      <c r="AE175" s="15"/>
      <c r="AJ175" s="15"/>
      <c r="AO175" s="15"/>
      <c r="AT175" s="15"/>
      <c r="AY175" s="15"/>
    </row>
    <row r="176" ht="15.75" customHeight="1">
      <c r="Z176" s="15"/>
      <c r="AE176" s="15"/>
      <c r="AJ176" s="15"/>
      <c r="AO176" s="15"/>
      <c r="AT176" s="15"/>
      <c r="AY176" s="15"/>
    </row>
    <row r="177" ht="15.75" customHeight="1">
      <c r="Z177" s="15"/>
      <c r="AE177" s="15"/>
      <c r="AJ177" s="15"/>
      <c r="AO177" s="15"/>
      <c r="AT177" s="15"/>
      <c r="AY177" s="15"/>
    </row>
    <row r="178" ht="15.75" customHeight="1">
      <c r="Z178" s="15"/>
      <c r="AE178" s="15"/>
      <c r="AJ178" s="15"/>
      <c r="AO178" s="15"/>
      <c r="AT178" s="15"/>
      <c r="AY178" s="15"/>
    </row>
    <row r="179" ht="15.75" customHeight="1">
      <c r="Z179" s="15"/>
      <c r="AE179" s="15"/>
      <c r="AJ179" s="15"/>
      <c r="AO179" s="15"/>
      <c r="AT179" s="15"/>
      <c r="AY179" s="15"/>
    </row>
    <row r="180" ht="15.75" customHeight="1">
      <c r="Z180" s="15"/>
      <c r="AE180" s="15"/>
      <c r="AJ180" s="15"/>
      <c r="AO180" s="15"/>
      <c r="AT180" s="15"/>
      <c r="AY180" s="15"/>
    </row>
    <row r="181" ht="15.75" customHeight="1">
      <c r="Z181" s="15"/>
      <c r="AE181" s="15"/>
      <c r="AJ181" s="15"/>
      <c r="AO181" s="15"/>
      <c r="AT181" s="15"/>
      <c r="AY181" s="15"/>
    </row>
    <row r="182" ht="15.75" customHeight="1">
      <c r="Z182" s="15"/>
      <c r="AE182" s="15"/>
      <c r="AJ182" s="15"/>
      <c r="AO182" s="15"/>
      <c r="AT182" s="15"/>
      <c r="AY182" s="15"/>
    </row>
    <row r="183" ht="15.75" customHeight="1">
      <c r="Z183" s="15"/>
      <c r="AE183" s="15"/>
      <c r="AJ183" s="15"/>
      <c r="AO183" s="15"/>
      <c r="AT183" s="15"/>
      <c r="AY183" s="15"/>
    </row>
    <row r="184" ht="15.75" customHeight="1">
      <c r="Z184" s="15"/>
      <c r="AE184" s="15"/>
      <c r="AJ184" s="15"/>
      <c r="AO184" s="15"/>
      <c r="AT184" s="15"/>
      <c r="AY184" s="15"/>
    </row>
    <row r="185" ht="15.75" customHeight="1">
      <c r="Z185" s="15"/>
      <c r="AE185" s="15"/>
      <c r="AJ185" s="15"/>
      <c r="AO185" s="15"/>
      <c r="AT185" s="15"/>
      <c r="AY185" s="15"/>
    </row>
    <row r="186" ht="15.75" customHeight="1">
      <c r="Z186" s="15"/>
      <c r="AE186" s="15"/>
      <c r="AJ186" s="15"/>
      <c r="AO186" s="15"/>
      <c r="AT186" s="15"/>
      <c r="AY186" s="15"/>
    </row>
    <row r="187" ht="15.75" customHeight="1">
      <c r="Z187" s="15"/>
      <c r="AE187" s="15"/>
      <c r="AJ187" s="15"/>
      <c r="AO187" s="15"/>
      <c r="AT187" s="15"/>
      <c r="AY187" s="15"/>
    </row>
    <row r="188" ht="15.75" customHeight="1">
      <c r="Z188" s="15"/>
      <c r="AE188" s="15"/>
      <c r="AJ188" s="15"/>
      <c r="AO188" s="15"/>
      <c r="AT188" s="15"/>
      <c r="AY188" s="15"/>
    </row>
    <row r="189" ht="15.75" customHeight="1">
      <c r="Z189" s="15"/>
      <c r="AE189" s="15"/>
      <c r="AJ189" s="15"/>
      <c r="AO189" s="15"/>
      <c r="AT189" s="15"/>
      <c r="AY189" s="15"/>
    </row>
    <row r="190" ht="15.75" customHeight="1">
      <c r="Z190" s="15"/>
      <c r="AE190" s="15"/>
      <c r="AJ190" s="15"/>
      <c r="AO190" s="15"/>
      <c r="AT190" s="15"/>
      <c r="AY190" s="15"/>
    </row>
    <row r="191" ht="15.75" customHeight="1">
      <c r="Z191" s="15"/>
      <c r="AE191" s="15"/>
      <c r="AJ191" s="15"/>
      <c r="AO191" s="15"/>
      <c r="AT191" s="15"/>
      <c r="AY191" s="15"/>
    </row>
    <row r="192" ht="15.75" customHeight="1">
      <c r="Z192" s="15"/>
      <c r="AE192" s="15"/>
      <c r="AJ192" s="15"/>
      <c r="AO192" s="15"/>
      <c r="AT192" s="15"/>
      <c r="AY192" s="15"/>
    </row>
    <row r="193" ht="15.75" customHeight="1">
      <c r="Z193" s="15"/>
      <c r="AE193" s="15"/>
      <c r="AJ193" s="15"/>
      <c r="AO193" s="15"/>
      <c r="AT193" s="15"/>
      <c r="AY193" s="15"/>
    </row>
    <row r="194" ht="15.75" customHeight="1">
      <c r="Z194" s="15"/>
      <c r="AE194" s="15"/>
      <c r="AJ194" s="15"/>
      <c r="AO194" s="15"/>
      <c r="AT194" s="15"/>
      <c r="AY194" s="15"/>
    </row>
    <row r="195" ht="15.75" customHeight="1">
      <c r="Z195" s="15"/>
      <c r="AE195" s="15"/>
      <c r="AJ195" s="15"/>
      <c r="AO195" s="15"/>
      <c r="AT195" s="15"/>
      <c r="AY195" s="15"/>
    </row>
    <row r="196" ht="15.75" customHeight="1">
      <c r="Z196" s="15"/>
      <c r="AE196" s="15"/>
      <c r="AJ196" s="15"/>
      <c r="AO196" s="15"/>
      <c r="AT196" s="15"/>
      <c r="AY196" s="15"/>
    </row>
    <row r="197" ht="15.75" customHeight="1">
      <c r="Z197" s="15"/>
      <c r="AE197" s="15"/>
      <c r="AJ197" s="15"/>
      <c r="AO197" s="15"/>
      <c r="AT197" s="15"/>
      <c r="AY197" s="15"/>
    </row>
    <row r="198" ht="15.75" customHeight="1">
      <c r="Z198" s="15"/>
      <c r="AE198" s="15"/>
      <c r="AJ198" s="15"/>
      <c r="AO198" s="15"/>
      <c r="AT198" s="15"/>
      <c r="AY198" s="15"/>
    </row>
    <row r="199" ht="15.75" customHeight="1">
      <c r="Z199" s="15"/>
      <c r="AE199" s="15"/>
      <c r="AJ199" s="15"/>
      <c r="AO199" s="15"/>
      <c r="AT199" s="15"/>
      <c r="AY199" s="15"/>
    </row>
    <row r="200" ht="15.75" customHeight="1">
      <c r="Z200" s="15"/>
      <c r="AE200" s="15"/>
      <c r="AJ200" s="15"/>
      <c r="AO200" s="15"/>
      <c r="AT200" s="15"/>
      <c r="AY200" s="15"/>
    </row>
    <row r="201" ht="15.75" customHeight="1">
      <c r="Z201" s="15"/>
      <c r="AE201" s="15"/>
      <c r="AJ201" s="15"/>
      <c r="AO201" s="15"/>
      <c r="AT201" s="15"/>
      <c r="AY201" s="15"/>
    </row>
    <row r="202" ht="15.75" customHeight="1">
      <c r="Z202" s="15"/>
      <c r="AE202" s="15"/>
      <c r="AJ202" s="15"/>
      <c r="AO202" s="15"/>
      <c r="AT202" s="15"/>
      <c r="AY202" s="15"/>
    </row>
    <row r="203" ht="15.75" customHeight="1">
      <c r="Z203" s="15"/>
      <c r="AE203" s="15"/>
      <c r="AJ203" s="15"/>
      <c r="AO203" s="15"/>
      <c r="AT203" s="15"/>
      <c r="AY203" s="15"/>
    </row>
    <row r="204" ht="15.75" customHeight="1">
      <c r="Z204" s="15"/>
      <c r="AE204" s="15"/>
      <c r="AJ204" s="15"/>
      <c r="AO204" s="15"/>
      <c r="AT204" s="15"/>
      <c r="AY204" s="15"/>
    </row>
    <row r="205" ht="15.75" customHeight="1">
      <c r="Z205" s="15"/>
      <c r="AE205" s="15"/>
      <c r="AJ205" s="15"/>
      <c r="AO205" s="15"/>
      <c r="AT205" s="15"/>
      <c r="AY205" s="15"/>
    </row>
    <row r="206" ht="15.75" customHeight="1">
      <c r="Z206" s="15"/>
      <c r="AE206" s="15"/>
      <c r="AJ206" s="15"/>
      <c r="AO206" s="15"/>
      <c r="AT206" s="15"/>
      <c r="AY206" s="15"/>
    </row>
    <row r="207" ht="15.75" customHeight="1">
      <c r="Z207" s="15"/>
      <c r="AE207" s="15"/>
      <c r="AJ207" s="15"/>
      <c r="AO207" s="15"/>
      <c r="AT207" s="15"/>
      <c r="AY207" s="15"/>
    </row>
    <row r="208" ht="15.75" customHeight="1">
      <c r="Z208" s="15"/>
      <c r="AE208" s="15"/>
      <c r="AJ208" s="15"/>
      <c r="AO208" s="15"/>
      <c r="AT208" s="15"/>
      <c r="AY208" s="15"/>
    </row>
    <row r="209" ht="15.75" customHeight="1">
      <c r="Z209" s="15"/>
      <c r="AE209" s="15"/>
      <c r="AJ209" s="15"/>
      <c r="AO209" s="15"/>
      <c r="AT209" s="15"/>
      <c r="AY209" s="15"/>
    </row>
    <row r="210" ht="15.75" customHeight="1">
      <c r="Z210" s="15"/>
      <c r="AE210" s="15"/>
      <c r="AJ210" s="15"/>
      <c r="AO210" s="15"/>
      <c r="AT210" s="15"/>
      <c r="AY210" s="15"/>
    </row>
    <row r="211" ht="15.75" customHeight="1">
      <c r="Z211" s="15"/>
      <c r="AE211" s="15"/>
      <c r="AJ211" s="15"/>
      <c r="AO211" s="15"/>
      <c r="AT211" s="15"/>
      <c r="AY211" s="15"/>
    </row>
    <row r="212" ht="15.75" customHeight="1">
      <c r="Z212" s="15"/>
      <c r="AE212" s="15"/>
      <c r="AJ212" s="15"/>
      <c r="AO212" s="15"/>
      <c r="AT212" s="15"/>
      <c r="AY212" s="15"/>
    </row>
    <row r="213" ht="15.75" customHeight="1">
      <c r="Z213" s="15"/>
      <c r="AE213" s="15"/>
      <c r="AJ213" s="15"/>
      <c r="AO213" s="15"/>
      <c r="AT213" s="15"/>
      <c r="AY213" s="15"/>
    </row>
    <row r="214" ht="15.75" customHeight="1">
      <c r="Z214" s="15"/>
      <c r="AE214" s="15"/>
      <c r="AJ214" s="15"/>
      <c r="AO214" s="15"/>
      <c r="AT214" s="15"/>
      <c r="AY214" s="15"/>
    </row>
    <row r="215" ht="15.75" customHeight="1">
      <c r="Z215" s="15"/>
      <c r="AE215" s="15"/>
      <c r="AJ215" s="15"/>
      <c r="AO215" s="15"/>
      <c r="AT215" s="15"/>
      <c r="AY215" s="15"/>
    </row>
    <row r="216" ht="15.75" customHeight="1">
      <c r="Z216" s="15"/>
      <c r="AE216" s="15"/>
      <c r="AJ216" s="15"/>
      <c r="AO216" s="15"/>
      <c r="AT216" s="15"/>
      <c r="AY216" s="15"/>
    </row>
    <row r="217" ht="15.75" customHeight="1">
      <c r="Z217" s="15"/>
      <c r="AE217" s="15"/>
      <c r="AJ217" s="15"/>
      <c r="AO217" s="15"/>
      <c r="AT217" s="15"/>
      <c r="AY217" s="15"/>
    </row>
    <row r="218" ht="15.75" customHeight="1">
      <c r="Z218" s="15"/>
      <c r="AE218" s="15"/>
      <c r="AJ218" s="15"/>
      <c r="AO218" s="15"/>
      <c r="AT218" s="15"/>
      <c r="AY218" s="15"/>
    </row>
    <row r="219" ht="15.75" customHeight="1">
      <c r="Z219" s="15"/>
      <c r="AE219" s="15"/>
      <c r="AJ219" s="15"/>
      <c r="AO219" s="15"/>
      <c r="AT219" s="15"/>
      <c r="AY219" s="15"/>
    </row>
    <row r="220" ht="15.75" customHeight="1">
      <c r="Z220" s="15"/>
      <c r="AE220" s="15"/>
      <c r="AJ220" s="15"/>
      <c r="AO220" s="15"/>
      <c r="AT220" s="15"/>
      <c r="AY220" s="15"/>
    </row>
    <row r="221" ht="15.75" customHeight="1">
      <c r="Z221" s="15"/>
      <c r="AE221" s="15"/>
      <c r="AJ221" s="15"/>
      <c r="AO221" s="15"/>
      <c r="AT221" s="15"/>
      <c r="AY221" s="15"/>
    </row>
    <row r="222" ht="15.75" customHeight="1">
      <c r="Z222" s="15"/>
      <c r="AE222" s="15"/>
      <c r="AJ222" s="15"/>
      <c r="AO222" s="15"/>
      <c r="AT222" s="15"/>
      <c r="AY222" s="15"/>
    </row>
    <row r="223" ht="15.75" customHeight="1">
      <c r="Z223" s="15"/>
      <c r="AE223" s="15"/>
      <c r="AJ223" s="15"/>
      <c r="AO223" s="15"/>
      <c r="AT223" s="15"/>
      <c r="AY223" s="15"/>
    </row>
    <row r="224" ht="15.75" customHeight="1">
      <c r="Z224" s="15"/>
      <c r="AE224" s="15"/>
      <c r="AJ224" s="15"/>
      <c r="AO224" s="15"/>
      <c r="AT224" s="15"/>
      <c r="AY224" s="15"/>
    </row>
    <row r="225" ht="15.75" customHeight="1">
      <c r="Z225" s="15"/>
      <c r="AE225" s="15"/>
      <c r="AJ225" s="15"/>
      <c r="AO225" s="15"/>
      <c r="AT225" s="15"/>
      <c r="AY225" s="15"/>
    </row>
    <row r="226" ht="15.75" customHeight="1">
      <c r="Z226" s="15"/>
      <c r="AE226" s="15"/>
      <c r="AJ226" s="15"/>
      <c r="AO226" s="15"/>
      <c r="AT226" s="15"/>
      <c r="AY226" s="15"/>
    </row>
    <row r="227" ht="15.75" customHeight="1">
      <c r="Z227" s="15"/>
      <c r="AE227" s="15"/>
      <c r="AJ227" s="15"/>
      <c r="AO227" s="15"/>
      <c r="AT227" s="15"/>
      <c r="AY227" s="15"/>
    </row>
    <row r="228" ht="15.75" customHeight="1">
      <c r="Z228" s="15"/>
      <c r="AE228" s="15"/>
      <c r="AJ228" s="15"/>
      <c r="AO228" s="15"/>
      <c r="AT228" s="15"/>
      <c r="AY228" s="15"/>
    </row>
    <row r="229" ht="15.75" customHeight="1">
      <c r="Z229" s="15"/>
      <c r="AE229" s="15"/>
      <c r="AJ229" s="15"/>
      <c r="AO229" s="15"/>
      <c r="AT229" s="15"/>
      <c r="AY229" s="15"/>
    </row>
    <row r="230" ht="15.75" customHeight="1">
      <c r="Z230" s="15"/>
      <c r="AE230" s="15"/>
      <c r="AJ230" s="15"/>
      <c r="AO230" s="15"/>
      <c r="AT230" s="15"/>
      <c r="AY230" s="15"/>
    </row>
    <row r="231" ht="15.75" customHeight="1">
      <c r="Z231" s="15"/>
      <c r="AE231" s="15"/>
      <c r="AJ231" s="15"/>
      <c r="AO231" s="15"/>
      <c r="AT231" s="15"/>
      <c r="AY231" s="15"/>
    </row>
    <row r="232" ht="15.75" customHeight="1">
      <c r="Z232" s="15"/>
      <c r="AE232" s="15"/>
      <c r="AJ232" s="15"/>
      <c r="AO232" s="15"/>
      <c r="AT232" s="15"/>
      <c r="AY232" s="15"/>
    </row>
    <row r="233" ht="15.75" customHeight="1">
      <c r="Z233" s="15"/>
      <c r="AE233" s="15"/>
      <c r="AJ233" s="15"/>
      <c r="AO233" s="15"/>
      <c r="AT233" s="15"/>
      <c r="AY233" s="15"/>
    </row>
    <row r="234" ht="15.75" customHeight="1">
      <c r="Z234" s="15"/>
      <c r="AE234" s="15"/>
      <c r="AJ234" s="15"/>
      <c r="AO234" s="15"/>
      <c r="AT234" s="15"/>
      <c r="AY234" s="15"/>
    </row>
    <row r="235" ht="15.75" customHeight="1">
      <c r="Z235" s="15"/>
      <c r="AE235" s="15"/>
      <c r="AJ235" s="15"/>
      <c r="AO235" s="15"/>
      <c r="AT235" s="15"/>
      <c r="AY235" s="15"/>
    </row>
    <row r="236" ht="15.75" customHeight="1">
      <c r="Z236" s="15"/>
      <c r="AE236" s="15"/>
      <c r="AJ236" s="15"/>
      <c r="AO236" s="15"/>
      <c r="AT236" s="15"/>
      <c r="AY236" s="15"/>
    </row>
    <row r="237" ht="15.75" customHeight="1">
      <c r="Z237" s="15"/>
      <c r="AE237" s="15"/>
      <c r="AJ237" s="15"/>
      <c r="AO237" s="15"/>
      <c r="AT237" s="15"/>
      <c r="AY237" s="15"/>
    </row>
    <row r="238" ht="15.75" customHeight="1">
      <c r="Z238" s="15"/>
      <c r="AE238" s="15"/>
      <c r="AJ238" s="15"/>
      <c r="AO238" s="15"/>
      <c r="AT238" s="15"/>
      <c r="AY238" s="15"/>
    </row>
    <row r="239" ht="15.75" customHeight="1">
      <c r="Z239" s="15"/>
      <c r="AE239" s="15"/>
      <c r="AJ239" s="15"/>
      <c r="AO239" s="15"/>
      <c r="AT239" s="15"/>
      <c r="AY239" s="15"/>
    </row>
    <row r="240" ht="15.75" customHeight="1">
      <c r="Z240" s="15"/>
      <c r="AE240" s="15"/>
      <c r="AJ240" s="15"/>
      <c r="AO240" s="15"/>
      <c r="AT240" s="15"/>
      <c r="AY240" s="15"/>
    </row>
    <row r="241" ht="15.75" customHeight="1">
      <c r="Z241" s="15"/>
      <c r="AE241" s="15"/>
      <c r="AJ241" s="15"/>
      <c r="AO241" s="15"/>
      <c r="AT241" s="15"/>
      <c r="AY241" s="15"/>
    </row>
    <row r="242" ht="15.75" customHeight="1">
      <c r="Z242" s="15"/>
      <c r="AE242" s="15"/>
      <c r="AJ242" s="15"/>
      <c r="AO242" s="15"/>
      <c r="AT242" s="15"/>
      <c r="AY242" s="15"/>
    </row>
    <row r="243" ht="15.75" customHeight="1">
      <c r="Z243" s="15"/>
      <c r="AE243" s="15"/>
      <c r="AJ243" s="15"/>
      <c r="AO243" s="15"/>
      <c r="AT243" s="15"/>
      <c r="AY243" s="15"/>
    </row>
    <row r="244" ht="15.75" customHeight="1">
      <c r="Z244" s="15"/>
      <c r="AE244" s="15"/>
      <c r="AJ244" s="15"/>
      <c r="AO244" s="15"/>
      <c r="AT244" s="15"/>
      <c r="AY244" s="15"/>
    </row>
    <row r="245" ht="15.75" customHeight="1">
      <c r="Z245" s="15"/>
      <c r="AE245" s="15"/>
      <c r="AJ245" s="15"/>
      <c r="AO245" s="15"/>
      <c r="AT245" s="15"/>
      <c r="AY245" s="15"/>
    </row>
    <row r="246" ht="15.75" customHeight="1">
      <c r="Z246" s="15"/>
      <c r="AE246" s="15"/>
      <c r="AJ246" s="15"/>
      <c r="AO246" s="15"/>
      <c r="AT246" s="15"/>
      <c r="AY246" s="15"/>
    </row>
    <row r="247" ht="15.75" customHeight="1">
      <c r="Z247" s="15"/>
      <c r="AE247" s="15"/>
      <c r="AJ247" s="15"/>
      <c r="AO247" s="15"/>
      <c r="AT247" s="15"/>
      <c r="AY247" s="15"/>
    </row>
    <row r="248" ht="15.75" customHeight="1">
      <c r="Z248" s="15"/>
      <c r="AE248" s="15"/>
      <c r="AJ248" s="15"/>
      <c r="AO248" s="15"/>
      <c r="AT248" s="15"/>
      <c r="AY248" s="15"/>
    </row>
    <row r="249" ht="15.75" customHeight="1">
      <c r="Z249" s="15"/>
      <c r="AE249" s="15"/>
      <c r="AJ249" s="15"/>
      <c r="AO249" s="15"/>
      <c r="AT249" s="15"/>
      <c r="AY249" s="15"/>
    </row>
    <row r="250" ht="15.75" customHeight="1">
      <c r="Z250" s="15"/>
      <c r="AE250" s="15"/>
      <c r="AJ250" s="15"/>
      <c r="AO250" s="15"/>
      <c r="AT250" s="15"/>
      <c r="AY250" s="15"/>
    </row>
    <row r="251" ht="15.75" customHeight="1">
      <c r="Z251" s="15"/>
      <c r="AE251" s="15"/>
      <c r="AJ251" s="15"/>
      <c r="AO251" s="15"/>
      <c r="AT251" s="15"/>
      <c r="AY251" s="15"/>
    </row>
    <row r="252" ht="15.75" customHeight="1">
      <c r="Z252" s="15"/>
      <c r="AE252" s="15"/>
      <c r="AJ252" s="15"/>
      <c r="AO252" s="15"/>
      <c r="AT252" s="15"/>
      <c r="AY252" s="15"/>
    </row>
    <row r="253" ht="15.75" customHeight="1">
      <c r="Z253" s="15"/>
      <c r="AE253" s="15"/>
      <c r="AJ253" s="15"/>
      <c r="AO253" s="15"/>
      <c r="AT253" s="15"/>
      <c r="AY253" s="15"/>
    </row>
    <row r="254" ht="15.75" customHeight="1">
      <c r="Z254" s="15"/>
      <c r="AE254" s="15"/>
      <c r="AJ254" s="15"/>
      <c r="AO254" s="15"/>
      <c r="AT254" s="15"/>
      <c r="AY254" s="15"/>
    </row>
    <row r="255" ht="15.75" customHeight="1">
      <c r="Z255" s="15"/>
      <c r="AE255" s="15"/>
      <c r="AJ255" s="15"/>
      <c r="AO255" s="15"/>
      <c r="AT255" s="15"/>
      <c r="AY255" s="15"/>
    </row>
    <row r="256" ht="15.75" customHeight="1">
      <c r="Z256" s="15"/>
      <c r="AE256" s="15"/>
      <c r="AJ256" s="15"/>
      <c r="AO256" s="15"/>
      <c r="AT256" s="15"/>
      <c r="AY256" s="15"/>
    </row>
    <row r="257" ht="15.75" customHeight="1">
      <c r="Z257" s="15"/>
      <c r="AE257" s="15"/>
      <c r="AJ257" s="15"/>
      <c r="AO257" s="15"/>
      <c r="AT257" s="15"/>
      <c r="AY257" s="15"/>
    </row>
    <row r="258" ht="15.75" customHeight="1">
      <c r="Z258" s="15"/>
      <c r="AE258" s="15"/>
      <c r="AJ258" s="15"/>
      <c r="AO258" s="15"/>
      <c r="AT258" s="15"/>
      <c r="AY258" s="15"/>
    </row>
    <row r="259" ht="15.75" customHeight="1">
      <c r="Z259" s="15"/>
      <c r="AE259" s="15"/>
      <c r="AJ259" s="15"/>
      <c r="AO259" s="15"/>
      <c r="AT259" s="15"/>
      <c r="AY259" s="15"/>
    </row>
    <row r="260" ht="15.75" customHeight="1">
      <c r="Z260" s="15"/>
      <c r="AE260" s="15"/>
      <c r="AJ260" s="15"/>
      <c r="AO260" s="15"/>
      <c r="AT260" s="15"/>
      <c r="AY260" s="15"/>
    </row>
    <row r="261" ht="15.75" customHeight="1">
      <c r="Z261" s="15"/>
      <c r="AE261" s="15"/>
      <c r="AJ261" s="15"/>
      <c r="AO261" s="15"/>
      <c r="AT261" s="15"/>
      <c r="AY261" s="15"/>
    </row>
    <row r="262" ht="15.75" customHeight="1">
      <c r="Z262" s="15"/>
      <c r="AE262" s="15"/>
      <c r="AJ262" s="15"/>
      <c r="AO262" s="15"/>
      <c r="AT262" s="15"/>
      <c r="AY262" s="15"/>
    </row>
    <row r="263" ht="15.75" customHeight="1">
      <c r="Z263" s="15"/>
      <c r="AE263" s="15"/>
      <c r="AJ263" s="15"/>
      <c r="AO263" s="15"/>
      <c r="AT263" s="15"/>
      <c r="AY263" s="15"/>
    </row>
    <row r="264" ht="15.75" customHeight="1">
      <c r="Z264" s="15"/>
      <c r="AE264" s="15"/>
      <c r="AJ264" s="15"/>
      <c r="AO264" s="15"/>
      <c r="AT264" s="15"/>
      <c r="AY264" s="15"/>
    </row>
    <row r="265" ht="15.75" customHeight="1">
      <c r="Z265" s="15"/>
      <c r="AE265" s="15"/>
      <c r="AJ265" s="15"/>
      <c r="AO265" s="15"/>
      <c r="AT265" s="15"/>
      <c r="AY265" s="15"/>
    </row>
    <row r="266" ht="15.75" customHeight="1">
      <c r="Z266" s="15"/>
      <c r="AE266" s="15"/>
      <c r="AJ266" s="15"/>
      <c r="AO266" s="15"/>
      <c r="AT266" s="15"/>
      <c r="AY266" s="15"/>
    </row>
    <row r="267" ht="15.75" customHeight="1">
      <c r="Z267" s="15"/>
      <c r="AE267" s="15"/>
      <c r="AJ267" s="15"/>
      <c r="AO267" s="15"/>
      <c r="AT267" s="15"/>
      <c r="AY267" s="15"/>
    </row>
    <row r="268" ht="15.75" customHeight="1">
      <c r="Z268" s="15"/>
      <c r="AE268" s="15"/>
      <c r="AJ268" s="15"/>
      <c r="AO268" s="15"/>
      <c r="AT268" s="15"/>
      <c r="AY268" s="15"/>
    </row>
    <row r="269" ht="15.75" customHeight="1">
      <c r="Z269" s="15"/>
      <c r="AE269" s="15"/>
      <c r="AJ269" s="15"/>
      <c r="AO269" s="15"/>
      <c r="AT269" s="15"/>
      <c r="AY269" s="15"/>
    </row>
    <row r="270" ht="15.75" customHeight="1">
      <c r="Z270" s="15"/>
      <c r="AE270" s="15"/>
      <c r="AJ270" s="15"/>
      <c r="AO270" s="15"/>
      <c r="AT270" s="15"/>
      <c r="AY270" s="15"/>
    </row>
    <row r="271" ht="15.75" customHeight="1">
      <c r="Z271" s="15"/>
      <c r="AE271" s="15"/>
      <c r="AJ271" s="15"/>
      <c r="AO271" s="15"/>
      <c r="AT271" s="15"/>
      <c r="AY271" s="15"/>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35.13"/>
  </cols>
  <sheetData>
    <row r="1" ht="15.75" customHeight="1">
      <c r="A1" s="1" t="s">
        <v>133</v>
      </c>
      <c r="B1" s="13"/>
      <c r="C1" s="14"/>
      <c r="D1" s="14"/>
      <c r="E1" s="14"/>
      <c r="F1" s="14"/>
      <c r="G1" s="14"/>
      <c r="Z1" s="15"/>
      <c r="AC1" s="1" t="s">
        <v>47</v>
      </c>
      <c r="AE1" s="15"/>
      <c r="AJ1" s="15"/>
      <c r="AO1" s="15"/>
      <c r="AT1" s="15"/>
      <c r="AY1" s="15"/>
    </row>
    <row r="2" ht="15.75" customHeight="1">
      <c r="A2" s="16"/>
      <c r="B2" s="17" t="s">
        <v>48</v>
      </c>
      <c r="C2" s="17" t="s">
        <v>49</v>
      </c>
      <c r="D2" s="17" t="s">
        <v>50</v>
      </c>
      <c r="E2" s="17" t="s">
        <v>51</v>
      </c>
      <c r="F2" s="17" t="s">
        <v>52</v>
      </c>
      <c r="G2" s="17" t="s">
        <v>53</v>
      </c>
      <c r="H2" s="17" t="s">
        <v>54</v>
      </c>
      <c r="I2" s="17" t="s">
        <v>55</v>
      </c>
      <c r="J2" s="16" t="s">
        <v>56</v>
      </c>
      <c r="K2" s="18" t="s">
        <v>57</v>
      </c>
      <c r="L2" s="18" t="s">
        <v>58</v>
      </c>
      <c r="M2" s="18" t="s">
        <v>59</v>
      </c>
      <c r="N2" s="16" t="s">
        <v>60</v>
      </c>
      <c r="O2" s="16" t="s">
        <v>61</v>
      </c>
      <c r="P2" s="16" t="s">
        <v>62</v>
      </c>
      <c r="Q2" s="16" t="s">
        <v>63</v>
      </c>
      <c r="R2" s="16" t="s">
        <v>64</v>
      </c>
      <c r="S2" s="16" t="s">
        <v>65</v>
      </c>
      <c r="T2" s="16" t="s">
        <v>66</v>
      </c>
      <c r="U2" s="16" t="s">
        <v>67</v>
      </c>
      <c r="V2" s="16" t="s">
        <v>68</v>
      </c>
      <c r="W2" s="16" t="s">
        <v>69</v>
      </c>
      <c r="X2" s="16" t="s">
        <v>70</v>
      </c>
      <c r="Y2" s="16" t="s">
        <v>71</v>
      </c>
      <c r="Z2" s="19" t="s">
        <v>72</v>
      </c>
      <c r="AA2" s="16" t="s">
        <v>73</v>
      </c>
      <c r="AB2" s="16" t="s">
        <v>74</v>
      </c>
      <c r="AC2" s="16" t="s">
        <v>75</v>
      </c>
      <c r="AD2" s="16" t="s">
        <v>76</v>
      </c>
      <c r="AE2" s="19" t="s">
        <v>77</v>
      </c>
      <c r="AF2" s="16" t="s">
        <v>78</v>
      </c>
      <c r="AG2" s="16" t="s">
        <v>79</v>
      </c>
      <c r="AH2" s="18" t="s">
        <v>80</v>
      </c>
      <c r="AI2" s="18" t="s">
        <v>81</v>
      </c>
      <c r="AJ2" s="20" t="s">
        <v>82</v>
      </c>
      <c r="AK2" s="16" t="s">
        <v>83</v>
      </c>
      <c r="AL2" s="18" t="s">
        <v>84</v>
      </c>
      <c r="AM2" s="18" t="s">
        <v>85</v>
      </c>
      <c r="AN2" s="18" t="s">
        <v>86</v>
      </c>
      <c r="AO2" s="20" t="s">
        <v>87</v>
      </c>
      <c r="AP2" s="18" t="s">
        <v>88</v>
      </c>
      <c r="AQ2" s="18" t="s">
        <v>89</v>
      </c>
      <c r="AR2" s="18" t="s">
        <v>90</v>
      </c>
      <c r="AS2" s="18" t="s">
        <v>91</v>
      </c>
      <c r="AT2" s="20" t="s">
        <v>92</v>
      </c>
      <c r="AU2" s="16" t="s">
        <v>93</v>
      </c>
      <c r="AV2" s="16" t="s">
        <v>94</v>
      </c>
      <c r="AW2" s="18" t="s">
        <v>95</v>
      </c>
      <c r="AX2" s="18" t="s">
        <v>96</v>
      </c>
      <c r="AY2" s="20" t="s">
        <v>97</v>
      </c>
      <c r="AZ2" s="16"/>
      <c r="BA2" s="16"/>
      <c r="BB2" s="16"/>
      <c r="BC2" s="16"/>
      <c r="BD2" s="16"/>
      <c r="BE2" s="16"/>
      <c r="BF2" s="16"/>
      <c r="BG2" s="16"/>
      <c r="BH2" s="16"/>
      <c r="BI2" s="16"/>
      <c r="BJ2" s="16"/>
      <c r="BK2" s="16"/>
      <c r="BL2" s="16"/>
      <c r="BM2" s="16"/>
      <c r="BN2" s="16"/>
      <c r="BO2" s="16"/>
      <c r="BP2" s="16"/>
      <c r="BQ2" s="16"/>
      <c r="BR2" s="16"/>
      <c r="BS2" s="16"/>
    </row>
    <row r="3" ht="15.75" customHeight="1">
      <c r="A3" s="1" t="s">
        <v>98</v>
      </c>
      <c r="AE3" s="15"/>
      <c r="AJ3" s="15"/>
      <c r="AO3" s="15"/>
      <c r="AT3" s="15"/>
      <c r="AY3" s="15"/>
    </row>
    <row r="4" ht="15.75" customHeight="1">
      <c r="A4" s="14" t="s">
        <v>99</v>
      </c>
      <c r="B4" s="57">
        <f>'Revenue Model'!B4</f>
        <v>39758</v>
      </c>
      <c r="C4" s="57">
        <f>'Revenue Model'!C4</f>
        <v>49161</v>
      </c>
      <c r="D4" s="57">
        <f>'Revenue Model'!D4</f>
        <v>57651</v>
      </c>
      <c r="E4" s="57">
        <f>'Revenue Model'!E4</f>
        <v>72831</v>
      </c>
      <c r="F4" s="57">
        <f>'Revenue Model'!F4</f>
        <v>85990</v>
      </c>
      <c r="G4" s="57">
        <f>'Revenue Model'!G4</f>
        <v>97575</v>
      </c>
      <c r="H4" s="57">
        <f>'Revenue Model'!H4</f>
        <v>114221</v>
      </c>
      <c r="I4" s="57">
        <f>'Revenue Model'!I4</f>
        <v>138537</v>
      </c>
      <c r="J4" s="57">
        <f>'Revenue Model'!J4</f>
        <v>162222</v>
      </c>
      <c r="K4" s="57">
        <f>'Revenue Model'!K4</f>
        <v>184256</v>
      </c>
      <c r="L4" s="57">
        <f>'Revenue Model'!L4</f>
        <v>213530</v>
      </c>
      <c r="M4" s="57">
        <f>'Revenue Model'!M4</f>
        <v>244662</v>
      </c>
      <c r="N4" s="57">
        <f>'Revenue Model'!N4</f>
        <v>281228</v>
      </c>
      <c r="O4" s="57">
        <f>'Revenue Model'!O4</f>
        <v>315836</v>
      </c>
      <c r="P4" s="57">
        <f>'Revenue Model'!P4</f>
        <v>357030</v>
      </c>
      <c r="Q4" s="57">
        <f>'Revenue Model'!Q4</f>
        <v>405443</v>
      </c>
      <c r="R4" s="57">
        <f>'Revenue Model'!R4</f>
        <v>459822</v>
      </c>
      <c r="S4" s="57">
        <f>'Revenue Model'!S4</f>
        <v>506199</v>
      </c>
      <c r="T4" s="57">
        <f>'Revenue Model'!T4</f>
        <v>547376</v>
      </c>
      <c r="U4" s="57">
        <f>'Revenue Model'!U4</f>
        <v>598263</v>
      </c>
      <c r="V4" s="57">
        <f>'Revenue Model'!V4</f>
        <v>651175</v>
      </c>
      <c r="W4" s="57">
        <f>'Revenue Model'!W4</f>
        <v>689972</v>
      </c>
      <c r="X4" s="57">
        <f>'Revenue Model'!X4</f>
        <v>733463</v>
      </c>
      <c r="Y4" s="57">
        <f>'Revenue Model'!Y4</f>
        <v>795947</v>
      </c>
      <c r="Z4" s="57">
        <f>'Revenue Model'!Z4</f>
        <v>2870557</v>
      </c>
      <c r="AA4" s="57">
        <f>'Revenue Model'!AA4</f>
        <v>872172</v>
      </c>
      <c r="AB4" s="57">
        <f>'Revenue Model'!AB4</f>
        <v>918257</v>
      </c>
      <c r="AC4" s="57">
        <f>'Revenue Model'!AC4</f>
        <v>954069.7805</v>
      </c>
      <c r="AD4" s="57">
        <f>'Revenue Model'!AD4</f>
        <v>988135.8413</v>
      </c>
      <c r="AE4" s="58">
        <f>'Revenue Model'!AE4</f>
        <v>3732634.622</v>
      </c>
      <c r="AF4" s="57">
        <f>'Revenue Model'!AF4</f>
        <v>1063236.989</v>
      </c>
      <c r="AG4" s="57">
        <f>'Revenue Model'!AG4</f>
        <v>1141379.618</v>
      </c>
      <c r="AH4" s="57">
        <f>'Revenue Model'!AH4</f>
        <v>1222666.72</v>
      </c>
      <c r="AI4" s="57">
        <f>'Revenue Model'!AI4</f>
        <v>1307204.49</v>
      </c>
      <c r="AJ4" s="58">
        <f>'Revenue Model'!AJ4</f>
        <v>4734487.817</v>
      </c>
      <c r="AK4" s="57">
        <f>'Revenue Model'!AK4</f>
        <v>1395102.418</v>
      </c>
      <c r="AL4" s="57">
        <f>'Revenue Model'!AL4</f>
        <v>1486473.385</v>
      </c>
      <c r="AM4" s="57">
        <f>'Revenue Model'!AM4</f>
        <v>1581433.767</v>
      </c>
      <c r="AN4" s="57">
        <f>'Revenue Model'!AN4</f>
        <v>1680101.649</v>
      </c>
      <c r="AO4" s="58">
        <f>'Revenue Model'!AO4</f>
        <v>6143111.219</v>
      </c>
      <c r="AP4" s="57">
        <f>'Revenue Model'!AP4</f>
        <v>1782598.649</v>
      </c>
      <c r="AQ4" s="57">
        <f>'Revenue Model'!AQ4</f>
        <v>1889050.019</v>
      </c>
      <c r="AR4" s="57">
        <f>'Revenue Model'!AR4</f>
        <v>1999584.749</v>
      </c>
      <c r="AS4" s="57">
        <f>'Revenue Model'!AS4</f>
        <v>2114335.667</v>
      </c>
      <c r="AT4" s="58">
        <f>'Revenue Model'!AT4</f>
        <v>7785569.084</v>
      </c>
      <c r="AU4" s="57">
        <f>'Revenue Model'!AU4</f>
        <v>2222518.089</v>
      </c>
      <c r="AV4" s="57">
        <f>'Revenue Model'!AV4</f>
        <v>2334041.901</v>
      </c>
      <c r="AW4" s="57">
        <f>'Revenue Model'!AW4</f>
        <v>2448992.975</v>
      </c>
      <c r="AX4" s="57">
        <f>'Revenue Model'!AX4</f>
        <v>2567459.18</v>
      </c>
      <c r="AY4" s="58">
        <f>'Revenue Model'!AY4</f>
        <v>9573012.145</v>
      </c>
      <c r="AZ4" s="14"/>
      <c r="BA4" s="14"/>
      <c r="BB4" s="14"/>
      <c r="BC4" s="14"/>
      <c r="BD4" s="14"/>
      <c r="BE4" s="14"/>
      <c r="BF4" s="14"/>
      <c r="BG4" s="14"/>
      <c r="BH4" s="14"/>
      <c r="BI4" s="14"/>
      <c r="BJ4" s="14"/>
      <c r="BK4" s="14"/>
      <c r="BL4" s="14"/>
      <c r="BM4" s="14"/>
      <c r="BN4" s="14"/>
      <c r="BO4" s="14"/>
      <c r="BP4" s="14"/>
      <c r="BQ4" s="14"/>
      <c r="BR4" s="14"/>
      <c r="BS4" s="14"/>
    </row>
    <row r="5" ht="15.75" customHeight="1">
      <c r="A5" s="14" t="s">
        <v>134</v>
      </c>
      <c r="B5" s="57">
        <f>'Revenue Model'!B7</f>
        <v>7531</v>
      </c>
      <c r="C5" s="57">
        <f>'Revenue Model'!C7</f>
        <v>6540</v>
      </c>
      <c r="D5" s="57">
        <f>'Revenue Model'!D7</f>
        <v>8728</v>
      </c>
      <c r="E5" s="57">
        <f>'Revenue Model'!E7</f>
        <v>7624</v>
      </c>
      <c r="F5" s="57">
        <f>'Revenue Model'!F7</f>
        <v>10087</v>
      </c>
      <c r="G5" s="57">
        <f>'Revenue Model'!G7</f>
        <v>10533</v>
      </c>
      <c r="H5" s="57">
        <f>'Revenue Model'!H7</f>
        <v>10898</v>
      </c>
      <c r="I5" s="57">
        <f>'Revenue Model'!I7</f>
        <v>13572</v>
      </c>
      <c r="J5" s="57">
        <f>'Revenue Model'!J7</f>
        <v>15856</v>
      </c>
      <c r="K5" s="57">
        <f>'Revenue Model'!K7</f>
        <v>14715</v>
      </c>
      <c r="L5" s="57">
        <f>'Revenue Model'!L7</f>
        <v>18930</v>
      </c>
      <c r="M5" s="57">
        <f>'Revenue Model'!M7</f>
        <v>20267</v>
      </c>
      <c r="N5" s="57">
        <f>'Revenue Model'!N7</f>
        <v>21615</v>
      </c>
      <c r="O5" s="57">
        <f>'Revenue Model'!O7</f>
        <v>21854</v>
      </c>
      <c r="P5" s="57">
        <f>'Revenue Model'!P7</f>
        <v>23021</v>
      </c>
      <c r="Q5" s="57">
        <f>'Revenue Model'!Q7</f>
        <v>25567</v>
      </c>
      <c r="R5" s="57">
        <f>'Revenue Model'!R7</f>
        <v>28012</v>
      </c>
      <c r="S5" s="57">
        <f>'Revenue Model'!S7</f>
        <v>28954</v>
      </c>
      <c r="T5" s="57">
        <f>'Revenue Model'!T7</f>
        <v>33506</v>
      </c>
      <c r="U5" s="57">
        <f>'Revenue Model'!U7</f>
        <v>39104</v>
      </c>
      <c r="V5" s="57">
        <f>'Revenue Model'!V7</f>
        <v>41405</v>
      </c>
      <c r="W5" s="57">
        <f>'Revenue Model'!W7</f>
        <v>41654</v>
      </c>
      <c r="X5" s="57">
        <f>'Revenue Model'!X7</f>
        <v>52551</v>
      </c>
      <c r="Y5" s="57">
        <f>'Revenue Model'!Y7</f>
        <v>49388</v>
      </c>
      <c r="Z5" s="57">
        <f>'Revenue Model'!Z7</f>
        <v>184998</v>
      </c>
      <c r="AA5" s="57">
        <f>'Revenue Model'!AA7</f>
        <v>48864</v>
      </c>
      <c r="AB5" s="57">
        <f>'Revenue Model'!AB7</f>
        <v>45615</v>
      </c>
      <c r="AC5" s="57">
        <f>'Revenue Model'!AC7</f>
        <v>46983.45</v>
      </c>
      <c r="AD5" s="57">
        <f>'Revenue Model'!AD7</f>
        <v>48392.9535</v>
      </c>
      <c r="AE5" s="58">
        <f>'Revenue Model'!AE7</f>
        <v>189855.4035</v>
      </c>
      <c r="AF5" s="57">
        <f>'Revenue Model'!AF7</f>
        <v>62910.83955</v>
      </c>
      <c r="AG5" s="57">
        <f>'Revenue Model'!AG7</f>
        <v>78638.54944</v>
      </c>
      <c r="AH5" s="57">
        <f>'Revenue Model'!AH7</f>
        <v>98298.1868</v>
      </c>
      <c r="AI5" s="57">
        <f>'Revenue Model'!AI7</f>
        <v>122872.7335</v>
      </c>
      <c r="AJ5" s="58">
        <f>'Revenue Model'!AJ7</f>
        <v>362720.3093</v>
      </c>
      <c r="AK5" s="57">
        <f>'Revenue Model'!AK7</f>
        <v>126558.9155</v>
      </c>
      <c r="AL5" s="57">
        <f>'Revenue Model'!AL7</f>
        <v>130355.683</v>
      </c>
      <c r="AM5" s="57">
        <f>'Revenue Model'!AM7</f>
        <v>134266.3535</v>
      </c>
      <c r="AN5" s="57">
        <f>'Revenue Model'!AN7</f>
        <v>138294.3441</v>
      </c>
      <c r="AO5" s="58">
        <f>'Revenue Model'!AO7</f>
        <v>529475.296</v>
      </c>
      <c r="AP5" s="57">
        <f>'Revenue Model'!AP7</f>
        <v>142443.1744</v>
      </c>
      <c r="AQ5" s="57">
        <f>'Revenue Model'!AQ7</f>
        <v>146716.4696</v>
      </c>
      <c r="AR5" s="57">
        <f>'Revenue Model'!AR7</f>
        <v>151117.9637</v>
      </c>
      <c r="AS5" s="57">
        <f>'Revenue Model'!AS7</f>
        <v>155651.5026</v>
      </c>
      <c r="AT5" s="58">
        <f>'Revenue Model'!AT7</f>
        <v>595929.1103</v>
      </c>
      <c r="AU5" s="57">
        <f>'Revenue Model'!AU7</f>
        <v>160321.0477</v>
      </c>
      <c r="AV5" s="57">
        <f>'Revenue Model'!AV7</f>
        <v>165130.6791</v>
      </c>
      <c r="AW5" s="57">
        <f>'Revenue Model'!AW7</f>
        <v>170084.5995</v>
      </c>
      <c r="AX5" s="57">
        <f>'Revenue Model'!AX7</f>
        <v>175187.1375</v>
      </c>
      <c r="AY5" s="58">
        <f>'Revenue Model'!AY7</f>
        <v>670723.4638</v>
      </c>
      <c r="AZ5" s="14"/>
      <c r="BA5" s="14"/>
      <c r="BB5" s="14"/>
      <c r="BC5" s="14"/>
      <c r="BD5" s="14"/>
      <c r="BE5" s="14"/>
      <c r="BF5" s="14"/>
      <c r="BG5" s="14"/>
      <c r="BH5" s="14"/>
      <c r="BI5" s="14"/>
      <c r="BJ5" s="14"/>
      <c r="BK5" s="14"/>
      <c r="BL5" s="14"/>
      <c r="BM5" s="14"/>
      <c r="BN5" s="14"/>
      <c r="BO5" s="14"/>
      <c r="BP5" s="14"/>
      <c r="BQ5" s="14"/>
      <c r="BR5" s="14"/>
      <c r="BS5" s="14"/>
    </row>
    <row r="6" ht="15.75" customHeight="1">
      <c r="A6" s="13" t="s">
        <v>13</v>
      </c>
      <c r="B6" s="59">
        <f>'Revenue Model'!B9</f>
        <v>47289</v>
      </c>
      <c r="C6" s="59">
        <f>'Revenue Model'!C9</f>
        <v>55701</v>
      </c>
      <c r="D6" s="59">
        <f>'Revenue Model'!D9</f>
        <v>66379</v>
      </c>
      <c r="E6" s="59">
        <f>'Revenue Model'!E9</f>
        <v>80455</v>
      </c>
      <c r="F6" s="59">
        <f>'Revenue Model'!F9</f>
        <v>96077</v>
      </c>
      <c r="G6" s="59">
        <f>'Revenue Model'!G9</f>
        <v>108108</v>
      </c>
      <c r="H6" s="59">
        <f>'Revenue Model'!H9</f>
        <v>125119</v>
      </c>
      <c r="I6" s="59">
        <f>'Revenue Model'!I9</f>
        <v>152109</v>
      </c>
      <c r="J6" s="59">
        <f>'Revenue Model'!J9</f>
        <v>178078</v>
      </c>
      <c r="K6" s="59">
        <f>'Revenue Model'!K9</f>
        <v>198971</v>
      </c>
      <c r="L6" s="59">
        <f>'Revenue Model'!L9</f>
        <v>232460</v>
      </c>
      <c r="M6" s="59">
        <f>'Revenue Model'!M9</f>
        <v>264929</v>
      </c>
      <c r="N6" s="59">
        <f>'Revenue Model'!N9</f>
        <v>302843</v>
      </c>
      <c r="O6" s="59">
        <f>'Revenue Model'!O9</f>
        <v>337690</v>
      </c>
      <c r="P6" s="59">
        <f>'Revenue Model'!P9</f>
        <v>380051</v>
      </c>
      <c r="Q6" s="59">
        <f>'Revenue Model'!Q9</f>
        <v>431010</v>
      </c>
      <c r="R6" s="59">
        <f>'Revenue Model'!R9</f>
        <v>487834</v>
      </c>
      <c r="S6" s="59">
        <f>'Revenue Model'!S9</f>
        <v>535153</v>
      </c>
      <c r="T6" s="59">
        <f>'Revenue Model'!T9</f>
        <v>580882</v>
      </c>
      <c r="U6" s="59">
        <f>'Revenue Model'!U9</f>
        <v>637367</v>
      </c>
      <c r="V6" s="59">
        <f>'Revenue Model'!V9</f>
        <v>692580</v>
      </c>
      <c r="W6" s="59">
        <f>'Revenue Model'!W9</f>
        <v>731626</v>
      </c>
      <c r="X6" s="59">
        <f>'Revenue Model'!X9</f>
        <v>786014</v>
      </c>
      <c r="Y6" s="59">
        <f>'Revenue Model'!Y9</f>
        <v>845335</v>
      </c>
      <c r="Z6" s="59">
        <f>'Revenue Model'!Z9</f>
        <v>3055555</v>
      </c>
      <c r="AA6" s="59">
        <f>'Revenue Model'!AA9</f>
        <v>921036</v>
      </c>
      <c r="AB6" s="59">
        <f>'Revenue Model'!AB9</f>
        <v>963872</v>
      </c>
      <c r="AC6" s="59">
        <f>'Revenue Model'!AC9</f>
        <v>1001053.23</v>
      </c>
      <c r="AD6" s="59">
        <f>'Revenue Model'!AD9</f>
        <v>1036528.795</v>
      </c>
      <c r="AE6" s="60">
        <f>'Revenue Model'!AE9</f>
        <v>3922490.025</v>
      </c>
      <c r="AF6" s="59">
        <f>'Revenue Model'!AF9</f>
        <v>1126147.829</v>
      </c>
      <c r="AG6" s="59">
        <f>'Revenue Model'!AG9</f>
        <v>1220018.167</v>
      </c>
      <c r="AH6" s="59">
        <f>'Revenue Model'!AH9</f>
        <v>1320964.907</v>
      </c>
      <c r="AI6" s="59">
        <f>'Revenue Model'!AI9</f>
        <v>1430077.224</v>
      </c>
      <c r="AJ6" s="60">
        <f>'Revenue Model'!AJ9</f>
        <v>5097208.127</v>
      </c>
      <c r="AK6" s="59">
        <f>'Revenue Model'!AK9</f>
        <v>1521661.333</v>
      </c>
      <c r="AL6" s="59">
        <f>'Revenue Model'!AL9</f>
        <v>1616829.068</v>
      </c>
      <c r="AM6" s="59">
        <f>'Revenue Model'!AM9</f>
        <v>1715700.121</v>
      </c>
      <c r="AN6" s="59">
        <f>'Revenue Model'!AN9</f>
        <v>1818395.993</v>
      </c>
      <c r="AO6" s="60">
        <f>'Revenue Model'!AO9</f>
        <v>6672586.515</v>
      </c>
      <c r="AP6" s="59">
        <f>'Revenue Model'!AP9</f>
        <v>1925041.823</v>
      </c>
      <c r="AQ6" s="59">
        <f>'Revenue Model'!AQ9</f>
        <v>2035766.489</v>
      </c>
      <c r="AR6" s="59">
        <f>'Revenue Model'!AR9</f>
        <v>2150702.712</v>
      </c>
      <c r="AS6" s="59">
        <f>'Revenue Model'!AS9</f>
        <v>2269987.17</v>
      </c>
      <c r="AT6" s="60">
        <f>'Revenue Model'!AT9</f>
        <v>8381498.194</v>
      </c>
      <c r="AU6" s="59">
        <f>'Revenue Model'!AU9</f>
        <v>2382839.137</v>
      </c>
      <c r="AV6" s="59">
        <f>'Revenue Model'!AV9</f>
        <v>2499172.58</v>
      </c>
      <c r="AW6" s="59">
        <f>'Revenue Model'!AW9</f>
        <v>2619077.574</v>
      </c>
      <c r="AX6" s="59">
        <f>'Revenue Model'!AX9</f>
        <v>2742646.317</v>
      </c>
      <c r="AY6" s="60">
        <f>'Revenue Model'!AY9</f>
        <v>10243735.61</v>
      </c>
      <c r="AZ6" s="14"/>
      <c r="BA6" s="14"/>
      <c r="BB6" s="14"/>
      <c r="BC6" s="14"/>
      <c r="BD6" s="14"/>
      <c r="BE6" s="14"/>
      <c r="BF6" s="14"/>
      <c r="BG6" s="14"/>
      <c r="BH6" s="14"/>
      <c r="BI6" s="14"/>
      <c r="BJ6" s="14"/>
      <c r="BK6" s="14"/>
      <c r="BL6" s="14"/>
      <c r="BM6" s="14"/>
      <c r="BN6" s="14"/>
      <c r="BO6" s="14"/>
      <c r="BP6" s="14"/>
      <c r="BQ6" s="14"/>
      <c r="BR6" s="14"/>
      <c r="BS6" s="14"/>
    </row>
    <row r="7" ht="15.7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49"/>
      <c r="AF7" s="14"/>
      <c r="AG7" s="14"/>
      <c r="AH7" s="14"/>
      <c r="AI7" s="14"/>
      <c r="AJ7" s="49"/>
      <c r="AK7" s="14"/>
      <c r="AL7" s="14"/>
      <c r="AM7" s="14"/>
      <c r="AN7" s="14"/>
      <c r="AO7" s="49"/>
      <c r="AP7" s="14"/>
      <c r="AQ7" s="14"/>
      <c r="AR7" s="14"/>
      <c r="AS7" s="14"/>
      <c r="AT7" s="49"/>
      <c r="AU7" s="14"/>
      <c r="AV7" s="14"/>
      <c r="AW7" s="14"/>
      <c r="AX7" s="14"/>
      <c r="AY7" s="49"/>
      <c r="AZ7" s="14"/>
      <c r="BA7" s="14"/>
      <c r="BB7" s="14"/>
      <c r="BC7" s="14"/>
      <c r="BD7" s="14"/>
      <c r="BE7" s="14"/>
      <c r="BF7" s="14"/>
      <c r="BG7" s="14"/>
      <c r="BH7" s="14"/>
      <c r="BI7" s="14"/>
      <c r="BJ7" s="14"/>
      <c r="BK7" s="14"/>
      <c r="BL7" s="14"/>
      <c r="BM7" s="14"/>
      <c r="BN7" s="14"/>
      <c r="BO7" s="14"/>
      <c r="BP7" s="14"/>
      <c r="BQ7" s="14"/>
      <c r="BR7" s="14"/>
      <c r="BS7" s="14"/>
    </row>
    <row r="8" ht="15.75" customHeight="1">
      <c r="A8" s="13" t="s">
        <v>135</v>
      </c>
      <c r="B8" s="14" t="s">
        <v>136</v>
      </c>
      <c r="C8" s="14">
        <v>1.0</v>
      </c>
      <c r="D8" s="14" t="s">
        <v>137</v>
      </c>
      <c r="E8" s="14">
        <v>1.0</v>
      </c>
      <c r="F8" s="14"/>
      <c r="G8" s="14"/>
      <c r="H8" s="14"/>
      <c r="I8" s="14"/>
      <c r="J8" s="14"/>
      <c r="K8" s="14"/>
      <c r="L8" s="14"/>
      <c r="M8" s="14"/>
      <c r="N8" s="14"/>
      <c r="O8" s="14"/>
      <c r="P8" s="14"/>
      <c r="Q8" s="14"/>
      <c r="R8" s="14"/>
      <c r="S8" s="14"/>
      <c r="T8" s="14"/>
      <c r="U8" s="14"/>
      <c r="V8" s="14"/>
      <c r="W8" s="14"/>
      <c r="X8" s="14"/>
      <c r="Y8" s="14"/>
      <c r="Z8" s="14"/>
      <c r="AA8" s="14"/>
      <c r="AB8" s="14"/>
      <c r="AC8" s="14"/>
      <c r="AD8" s="14"/>
      <c r="AE8" s="49"/>
      <c r="AF8" s="14"/>
      <c r="AG8" s="14"/>
      <c r="AH8" s="14"/>
      <c r="AI8" s="14"/>
      <c r="AJ8" s="49"/>
      <c r="AK8" s="14"/>
      <c r="AL8" s="14"/>
      <c r="AM8" s="14"/>
      <c r="AN8" s="14"/>
      <c r="AO8" s="49"/>
      <c r="AP8" s="14"/>
      <c r="AQ8" s="14"/>
      <c r="AR8" s="14"/>
      <c r="AS8" s="14"/>
      <c r="AT8" s="49"/>
      <c r="AU8" s="14"/>
      <c r="AV8" s="14"/>
      <c r="AW8" s="14"/>
      <c r="AX8" s="14"/>
      <c r="AY8" s="49"/>
      <c r="AZ8" s="14"/>
      <c r="BA8" s="14"/>
      <c r="BB8" s="14"/>
      <c r="BC8" s="14"/>
      <c r="BD8" s="14"/>
      <c r="BE8" s="14"/>
      <c r="BF8" s="14"/>
      <c r="BG8" s="14"/>
      <c r="BH8" s="14"/>
      <c r="BI8" s="14"/>
      <c r="BJ8" s="14"/>
      <c r="BK8" s="14"/>
      <c r="BL8" s="14"/>
      <c r="BM8" s="14"/>
      <c r="BN8" s="14"/>
      <c r="BO8" s="14"/>
      <c r="BP8" s="14"/>
      <c r="BQ8" s="14"/>
      <c r="BR8" s="14"/>
      <c r="BS8" s="14"/>
    </row>
    <row r="9" ht="15.75" customHeight="1">
      <c r="A9" s="25" t="s">
        <v>99</v>
      </c>
      <c r="B9" s="22">
        <v>15171.0</v>
      </c>
      <c r="C9" s="22">
        <v>14604.0</v>
      </c>
      <c r="D9" s="22">
        <v>17302.0</v>
      </c>
      <c r="E9" s="22">
        <v>22131.0</v>
      </c>
      <c r="F9" s="22">
        <v>23691.0</v>
      </c>
      <c r="G9" s="22">
        <v>24946.0</v>
      </c>
      <c r="H9" s="22">
        <v>29221.0</v>
      </c>
      <c r="I9" s="22">
        <v>34616.0</v>
      </c>
      <c r="J9" s="22">
        <v>37244.0</v>
      </c>
      <c r="K9" s="22">
        <v>44037.0</v>
      </c>
      <c r="L9" s="22">
        <v>49583.0</v>
      </c>
      <c r="M9" s="22">
        <v>54348.0</v>
      </c>
      <c r="N9" s="22">
        <v>64903.0</v>
      </c>
      <c r="O9" s="22">
        <v>75993.0</v>
      </c>
      <c r="P9" s="22">
        <v>85464.0</v>
      </c>
      <c r="Q9" s="22">
        <v>95544.0</v>
      </c>
      <c r="R9" s="22">
        <v>107942.0</v>
      </c>
      <c r="S9" s="22">
        <v>120087.0</v>
      </c>
      <c r="T9" s="22">
        <v>134229.0</v>
      </c>
      <c r="U9" s="22">
        <v>149426.0</v>
      </c>
      <c r="V9" s="22">
        <v>142100.0</v>
      </c>
      <c r="W9" s="22">
        <v>153306.0</v>
      </c>
      <c r="X9" s="22">
        <v>159830.0</v>
      </c>
      <c r="Y9" s="22">
        <v>175509.0</v>
      </c>
      <c r="Z9" s="22">
        <f>sum(V9:Y9)</f>
        <v>630745</v>
      </c>
      <c r="AA9" s="22">
        <v>189657.0</v>
      </c>
      <c r="AB9" s="22">
        <v>199910.0</v>
      </c>
      <c r="AC9" s="25">
        <f t="shared" ref="AC9:AD9" si="1">C38*AC4</f>
        <v>209895.3517</v>
      </c>
      <c r="AD9" s="25">
        <f t="shared" si="1"/>
        <v>217389.8851</v>
      </c>
      <c r="AE9" s="25">
        <f>sum(AA9:AD9)</f>
        <v>816852.2368</v>
      </c>
      <c r="AF9" s="25">
        <f t="shared" ref="AF9:AI9" si="2">E38*AF4</f>
        <v>233912.1376</v>
      </c>
      <c r="AG9" s="25">
        <f t="shared" si="2"/>
        <v>251103.5159</v>
      </c>
      <c r="AH9" s="25">
        <f t="shared" si="2"/>
        <v>268986.6784</v>
      </c>
      <c r="AI9" s="25">
        <f t="shared" si="2"/>
        <v>287584.9879</v>
      </c>
      <c r="AJ9" s="25">
        <f>sum(AF9:AI9)</f>
        <v>1041587.32</v>
      </c>
      <c r="AK9" s="25">
        <f t="shared" ref="AK9:AN9" si="3">I38*AK4</f>
        <v>306922.5319</v>
      </c>
      <c r="AL9" s="25">
        <f t="shared" si="3"/>
        <v>327024.1447</v>
      </c>
      <c r="AM9" s="25">
        <f t="shared" si="3"/>
        <v>347915.4288</v>
      </c>
      <c r="AN9" s="25">
        <f t="shared" si="3"/>
        <v>369622.3628</v>
      </c>
      <c r="AO9" s="25">
        <f>sum(AK9:AN9)</f>
        <v>1351484.468</v>
      </c>
      <c r="AP9" s="25">
        <f t="shared" ref="AP9:AS9" si="4">M38*AP4</f>
        <v>392171.7028</v>
      </c>
      <c r="AQ9" s="25">
        <f t="shared" si="4"/>
        <v>415591.0043</v>
      </c>
      <c r="AR9" s="25">
        <f t="shared" si="4"/>
        <v>439908.6447</v>
      </c>
      <c r="AS9" s="25">
        <f t="shared" si="4"/>
        <v>465153.8467</v>
      </c>
      <c r="AT9" s="25">
        <f>sum(AP9:AS9)</f>
        <v>1712825.198</v>
      </c>
      <c r="AU9" s="25">
        <f t="shared" ref="AU9:AX9" si="5">Q38*AU4</f>
        <v>488953.9795</v>
      </c>
      <c r="AV9" s="25">
        <f t="shared" si="5"/>
        <v>513489.2182</v>
      </c>
      <c r="AW9" s="25">
        <f t="shared" si="5"/>
        <v>538778.4545</v>
      </c>
      <c r="AX9" s="25">
        <f t="shared" si="5"/>
        <v>564841.0196</v>
      </c>
      <c r="AY9" s="25">
        <f>sum(AU9:AX9)</f>
        <v>2106062.672</v>
      </c>
      <c r="AZ9" s="22"/>
      <c r="BA9" s="22"/>
      <c r="BB9" s="22"/>
      <c r="BC9" s="22"/>
      <c r="BD9" s="22"/>
      <c r="BE9" s="22"/>
      <c r="BF9" s="22"/>
      <c r="BG9" s="22"/>
      <c r="BH9" s="22"/>
      <c r="BI9" s="22"/>
      <c r="BJ9" s="22"/>
      <c r="BK9" s="22"/>
      <c r="BL9" s="22"/>
      <c r="BM9" s="22"/>
      <c r="BN9" s="22"/>
      <c r="BO9" s="22"/>
      <c r="BP9" s="22"/>
      <c r="BQ9" s="22"/>
      <c r="BR9" s="22"/>
      <c r="BS9" s="22"/>
    </row>
    <row r="10" ht="15.75" customHeight="1">
      <c r="A10" s="2" t="s">
        <v>138</v>
      </c>
      <c r="B10" s="2">
        <f t="shared" ref="B10:AY10" si="6">B9/B4</f>
        <v>0.3815835807</v>
      </c>
      <c r="C10" s="2">
        <f t="shared" si="6"/>
        <v>0.2970647464</v>
      </c>
      <c r="D10" s="2">
        <f t="shared" si="6"/>
        <v>0.3001162165</v>
      </c>
      <c r="E10" s="2">
        <f t="shared" si="6"/>
        <v>0.3038678585</v>
      </c>
      <c r="F10" s="2">
        <f t="shared" si="6"/>
        <v>0.2755087801</v>
      </c>
      <c r="G10" s="2">
        <f t="shared" si="6"/>
        <v>0.2556597489</v>
      </c>
      <c r="H10" s="2">
        <f t="shared" si="6"/>
        <v>0.255828613</v>
      </c>
      <c r="I10" s="2">
        <f t="shared" si="6"/>
        <v>0.2498682662</v>
      </c>
      <c r="J10" s="2">
        <f t="shared" si="6"/>
        <v>0.2295866159</v>
      </c>
      <c r="K10" s="2">
        <f t="shared" si="6"/>
        <v>0.2389990014</v>
      </c>
      <c r="L10" s="2">
        <f t="shared" si="6"/>
        <v>0.2322062474</v>
      </c>
      <c r="M10" s="2">
        <f t="shared" si="6"/>
        <v>0.2221350271</v>
      </c>
      <c r="N10" s="2">
        <f t="shared" si="6"/>
        <v>0.2307842747</v>
      </c>
      <c r="O10" s="2">
        <f t="shared" si="6"/>
        <v>0.2406090503</v>
      </c>
      <c r="P10" s="2">
        <f t="shared" si="6"/>
        <v>0.2393748425</v>
      </c>
      <c r="Q10" s="2">
        <f t="shared" si="6"/>
        <v>0.2356533471</v>
      </c>
      <c r="R10" s="2">
        <f t="shared" si="6"/>
        <v>0.2347473588</v>
      </c>
      <c r="S10" s="2">
        <f t="shared" si="6"/>
        <v>0.2372327879</v>
      </c>
      <c r="T10" s="2">
        <f t="shared" si="6"/>
        <v>0.2452226623</v>
      </c>
      <c r="U10" s="2">
        <f t="shared" si="6"/>
        <v>0.2497664071</v>
      </c>
      <c r="V10" s="2">
        <f t="shared" si="6"/>
        <v>0.2182209084</v>
      </c>
      <c r="W10" s="2">
        <f t="shared" si="6"/>
        <v>0.2221916252</v>
      </c>
      <c r="X10" s="2">
        <f t="shared" si="6"/>
        <v>0.2179114693</v>
      </c>
      <c r="Y10" s="2">
        <f t="shared" si="6"/>
        <v>0.2205033752</v>
      </c>
      <c r="Z10" s="2">
        <f t="shared" si="6"/>
        <v>0.2197291327</v>
      </c>
      <c r="AA10" s="2">
        <f t="shared" si="6"/>
        <v>0.2174536674</v>
      </c>
      <c r="AB10" s="2">
        <f t="shared" si="6"/>
        <v>0.2177059364</v>
      </c>
      <c r="AC10" s="32">
        <f t="shared" si="6"/>
        <v>0.22</v>
      </c>
      <c r="AD10" s="32">
        <f t="shared" si="6"/>
        <v>0.22</v>
      </c>
      <c r="AE10" s="32">
        <f t="shared" si="6"/>
        <v>0.2188406634</v>
      </c>
      <c r="AF10" s="32">
        <f t="shared" si="6"/>
        <v>0.22</v>
      </c>
      <c r="AG10" s="32">
        <f t="shared" si="6"/>
        <v>0.22</v>
      </c>
      <c r="AH10" s="32">
        <f t="shared" si="6"/>
        <v>0.22</v>
      </c>
      <c r="AI10" s="32">
        <f t="shared" si="6"/>
        <v>0.22</v>
      </c>
      <c r="AJ10" s="32">
        <f t="shared" si="6"/>
        <v>0.22</v>
      </c>
      <c r="AK10" s="32">
        <f t="shared" si="6"/>
        <v>0.22</v>
      </c>
      <c r="AL10" s="32">
        <f t="shared" si="6"/>
        <v>0.22</v>
      </c>
      <c r="AM10" s="32">
        <f t="shared" si="6"/>
        <v>0.22</v>
      </c>
      <c r="AN10" s="32">
        <f t="shared" si="6"/>
        <v>0.22</v>
      </c>
      <c r="AO10" s="32">
        <f t="shared" si="6"/>
        <v>0.22</v>
      </c>
      <c r="AP10" s="32">
        <f t="shared" si="6"/>
        <v>0.22</v>
      </c>
      <c r="AQ10" s="32">
        <f t="shared" si="6"/>
        <v>0.22</v>
      </c>
      <c r="AR10" s="32">
        <f t="shared" si="6"/>
        <v>0.22</v>
      </c>
      <c r="AS10" s="32">
        <f t="shared" si="6"/>
        <v>0.22</v>
      </c>
      <c r="AT10" s="32">
        <f t="shared" si="6"/>
        <v>0.22</v>
      </c>
      <c r="AU10" s="32">
        <f t="shared" si="6"/>
        <v>0.22</v>
      </c>
      <c r="AV10" s="32">
        <f t="shared" si="6"/>
        <v>0.22</v>
      </c>
      <c r="AW10" s="32">
        <f t="shared" si="6"/>
        <v>0.22</v>
      </c>
      <c r="AX10" s="32">
        <f t="shared" si="6"/>
        <v>0.22</v>
      </c>
      <c r="AY10" s="32">
        <f t="shared" si="6"/>
        <v>0.22</v>
      </c>
      <c r="AZ10" s="2"/>
      <c r="BA10" s="2"/>
      <c r="BB10" s="2"/>
      <c r="BC10" s="2"/>
      <c r="BD10" s="2"/>
      <c r="BE10" s="2"/>
      <c r="BF10" s="2"/>
      <c r="BG10" s="2"/>
      <c r="BH10" s="2"/>
      <c r="BI10" s="2"/>
      <c r="BJ10" s="2"/>
      <c r="BK10" s="2"/>
      <c r="BL10" s="2"/>
      <c r="BM10" s="2"/>
      <c r="BN10" s="2"/>
      <c r="BO10" s="2"/>
      <c r="BP10" s="2"/>
      <c r="BQ10" s="2"/>
      <c r="BR10" s="2"/>
      <c r="BS10" s="2"/>
    </row>
    <row r="11" ht="15.75" customHeight="1">
      <c r="A11" s="2" t="s">
        <v>139</v>
      </c>
      <c r="B11" s="2">
        <f t="shared" ref="B11:AY11" si="7">B9/B15</f>
        <v>0.782252243</v>
      </c>
      <c r="C11" s="2">
        <f t="shared" si="7"/>
        <v>0.786218035</v>
      </c>
      <c r="D11" s="2">
        <f t="shared" si="7"/>
        <v>0.7767801024</v>
      </c>
      <c r="E11" s="2">
        <f t="shared" si="7"/>
        <v>0.8198184849</v>
      </c>
      <c r="F11" s="2">
        <f t="shared" si="7"/>
        <v>0.8093123356</v>
      </c>
      <c r="G11" s="2">
        <f t="shared" si="7"/>
        <v>0.7898803116</v>
      </c>
      <c r="H11" s="2">
        <f t="shared" si="7"/>
        <v>0.782251372</v>
      </c>
      <c r="I11" s="2">
        <f t="shared" si="7"/>
        <v>0.7972913836</v>
      </c>
      <c r="J11" s="2">
        <f t="shared" si="7"/>
        <v>0.7941998081</v>
      </c>
      <c r="K11" s="2">
        <f t="shared" si="7"/>
        <v>0.8096376239</v>
      </c>
      <c r="L11" s="2">
        <f t="shared" si="7"/>
        <v>0.805873844</v>
      </c>
      <c r="M11" s="2">
        <f t="shared" si="7"/>
        <v>0.8144218666</v>
      </c>
      <c r="N11" s="2">
        <f t="shared" si="7"/>
        <v>0.8267371505</v>
      </c>
      <c r="O11" s="2">
        <f t="shared" si="7"/>
        <v>0.8403330679</v>
      </c>
      <c r="P11" s="2">
        <f t="shared" si="7"/>
        <v>0.8406515581</v>
      </c>
      <c r="Q11" s="2">
        <f t="shared" si="7"/>
        <v>0.8483750666</v>
      </c>
      <c r="R11" s="2">
        <f t="shared" si="7"/>
        <v>0.8510628233</v>
      </c>
      <c r="S11" s="2">
        <f t="shared" si="7"/>
        <v>0.8543043531</v>
      </c>
      <c r="T11" s="2">
        <f t="shared" si="7"/>
        <v>0.8483264656</v>
      </c>
      <c r="U11" s="2">
        <f t="shared" si="7"/>
        <v>0.850925947</v>
      </c>
      <c r="V11" s="2">
        <f t="shared" si="7"/>
        <v>0.8396856349</v>
      </c>
      <c r="W11" s="2">
        <f t="shared" si="7"/>
        <v>0.8381178349</v>
      </c>
      <c r="X11" s="2">
        <f t="shared" si="7"/>
        <v>0.8196242128</v>
      </c>
      <c r="Y11" s="2">
        <f t="shared" si="7"/>
        <v>0.8414792014</v>
      </c>
      <c r="Z11" s="2">
        <f t="shared" si="7"/>
        <v>0.8346245913</v>
      </c>
      <c r="AA11" s="2">
        <f t="shared" si="7"/>
        <v>0.8429087612</v>
      </c>
      <c r="AB11" s="2">
        <f t="shared" si="7"/>
        <v>0.8420773291</v>
      </c>
      <c r="AC11" s="32">
        <f t="shared" si="7"/>
        <v>0.8645361861</v>
      </c>
      <c r="AD11" s="32">
        <f t="shared" si="7"/>
        <v>0.8651818843</v>
      </c>
      <c r="AE11" s="32">
        <f t="shared" si="7"/>
        <v>0.8540435093</v>
      </c>
      <c r="AF11" s="32">
        <f t="shared" si="7"/>
        <v>0.8415627587</v>
      </c>
      <c r="AG11" s="32">
        <f t="shared" si="7"/>
        <v>0.8201963266</v>
      </c>
      <c r="AH11" s="32">
        <f t="shared" si="7"/>
        <v>0.7963005746</v>
      </c>
      <c r="AI11" s="32">
        <f t="shared" si="7"/>
        <v>0.7697755432</v>
      </c>
      <c r="AJ11" s="32">
        <f t="shared" si="7"/>
        <v>0.8040093591</v>
      </c>
      <c r="AK11" s="32">
        <f t="shared" si="7"/>
        <v>0.7760097196</v>
      </c>
      <c r="AL11" s="32">
        <f t="shared" si="7"/>
        <v>0.7818435536</v>
      </c>
      <c r="AM11" s="32">
        <f t="shared" si="7"/>
        <v>0.7873137625</v>
      </c>
      <c r="AN11" s="32">
        <f t="shared" si="7"/>
        <v>0.7924525177</v>
      </c>
      <c r="AO11" s="32">
        <f t="shared" si="7"/>
        <v>0.7847807847</v>
      </c>
      <c r="AP11" s="32">
        <f t="shared" si="7"/>
        <v>0.7972882982</v>
      </c>
      <c r="AQ11" s="32">
        <f t="shared" si="7"/>
        <v>0.8018464049</v>
      </c>
      <c r="AR11" s="32">
        <f t="shared" si="7"/>
        <v>0.8061493921</v>
      </c>
      <c r="AS11" s="32">
        <f t="shared" si="7"/>
        <v>0.8102174303</v>
      </c>
      <c r="AT11" s="32">
        <f t="shared" si="7"/>
        <v>0.8041525067</v>
      </c>
      <c r="AU11" s="32">
        <f t="shared" si="7"/>
        <v>0.8133255038</v>
      </c>
      <c r="AV11" s="32">
        <f t="shared" si="7"/>
        <v>0.8162533415</v>
      </c>
      <c r="AW11" s="32">
        <f t="shared" si="7"/>
        <v>0.8190142883</v>
      </c>
      <c r="AX11" s="32">
        <f t="shared" si="7"/>
        <v>0.821620381</v>
      </c>
      <c r="AY11" s="32">
        <f t="shared" si="7"/>
        <v>0.817707696</v>
      </c>
      <c r="AZ11" s="2"/>
      <c r="BA11" s="2"/>
      <c r="BB11" s="2"/>
      <c r="BC11" s="2"/>
      <c r="BD11" s="2"/>
      <c r="BE11" s="2"/>
      <c r="BF11" s="2"/>
      <c r="BG11" s="2"/>
      <c r="BH11" s="2"/>
      <c r="BI11" s="2"/>
      <c r="BJ11" s="2"/>
      <c r="BK11" s="2"/>
      <c r="BL11" s="2"/>
      <c r="BM11" s="2"/>
      <c r="BN11" s="2"/>
      <c r="BO11" s="2"/>
      <c r="BP11" s="2"/>
      <c r="BQ11" s="2"/>
      <c r="BR11" s="2"/>
      <c r="BS11" s="2"/>
    </row>
    <row r="12" ht="15.75" customHeight="1">
      <c r="A12" s="25" t="s">
        <v>134</v>
      </c>
      <c r="B12" s="22">
        <v>4223.0</v>
      </c>
      <c r="C12" s="22">
        <v>3971.0</v>
      </c>
      <c r="D12" s="22">
        <v>4972.0</v>
      </c>
      <c r="E12" s="22">
        <v>4864.0</v>
      </c>
      <c r="F12" s="22">
        <v>5582.0</v>
      </c>
      <c r="G12" s="22">
        <v>6636.0</v>
      </c>
      <c r="H12" s="22">
        <v>8134.0</v>
      </c>
      <c r="I12" s="22">
        <v>8801.0</v>
      </c>
      <c r="J12" s="22">
        <v>9651.0</v>
      </c>
      <c r="K12" s="22">
        <v>10354.0</v>
      </c>
      <c r="L12" s="22">
        <v>11944.0</v>
      </c>
      <c r="M12" s="22">
        <v>12384.0</v>
      </c>
      <c r="N12" s="22">
        <v>13602.0</v>
      </c>
      <c r="O12" s="22">
        <v>14439.0</v>
      </c>
      <c r="P12" s="22">
        <v>16200.0</v>
      </c>
      <c r="Q12" s="22">
        <v>17076.0</v>
      </c>
      <c r="R12" s="22">
        <v>18890.0</v>
      </c>
      <c r="S12" s="22">
        <v>20480.0</v>
      </c>
      <c r="T12" s="22">
        <v>23999.0</v>
      </c>
      <c r="U12" s="22">
        <v>26178.0</v>
      </c>
      <c r="V12" s="22">
        <v>27130.0</v>
      </c>
      <c r="W12" s="22">
        <v>29611.0</v>
      </c>
      <c r="X12" s="22">
        <v>35174.0</v>
      </c>
      <c r="Y12" s="22">
        <v>33063.0</v>
      </c>
      <c r="Z12" s="22">
        <f>sum(V12:Y12)</f>
        <v>124978</v>
      </c>
      <c r="AA12" s="22">
        <v>35346.0</v>
      </c>
      <c r="AB12" s="22">
        <v>37491.0</v>
      </c>
      <c r="AC12" s="25">
        <f t="shared" ref="AC12:AD12" si="8">C46*AC5</f>
        <v>32888.415</v>
      </c>
      <c r="AD12" s="25">
        <f t="shared" si="8"/>
        <v>33875.06745</v>
      </c>
      <c r="AE12" s="25">
        <f>sum(AA12:AD12)</f>
        <v>139600.4825</v>
      </c>
      <c r="AF12" s="25">
        <f t="shared" ref="AF12:AI12" si="9">E46*AF5</f>
        <v>44037.58769</v>
      </c>
      <c r="AG12" s="25">
        <f t="shared" si="9"/>
        <v>55046.98461</v>
      </c>
      <c r="AH12" s="25">
        <f t="shared" si="9"/>
        <v>68808.73076</v>
      </c>
      <c r="AI12" s="25">
        <f t="shared" si="9"/>
        <v>86010.91345</v>
      </c>
      <c r="AJ12" s="25">
        <f>sum(AF12:AI12)</f>
        <v>253904.2165</v>
      </c>
      <c r="AK12" s="25">
        <f t="shared" ref="AK12:AN12" si="10">I46*AK5</f>
        <v>88591.24085</v>
      </c>
      <c r="AL12" s="25">
        <f t="shared" si="10"/>
        <v>91248.97808</v>
      </c>
      <c r="AM12" s="25">
        <f t="shared" si="10"/>
        <v>93986.44742</v>
      </c>
      <c r="AN12" s="25">
        <f t="shared" si="10"/>
        <v>96806.04084</v>
      </c>
      <c r="AO12" s="25">
        <f>sum(AK12:AN12)</f>
        <v>370632.7072</v>
      </c>
      <c r="AP12" s="25">
        <f t="shared" ref="AP12:AS12" si="11">M46*AP5</f>
        <v>99710.22207</v>
      </c>
      <c r="AQ12" s="25">
        <f t="shared" si="11"/>
        <v>102701.5287</v>
      </c>
      <c r="AR12" s="25">
        <f t="shared" si="11"/>
        <v>105782.5746</v>
      </c>
      <c r="AS12" s="25">
        <f t="shared" si="11"/>
        <v>108956.0518</v>
      </c>
      <c r="AT12" s="25">
        <f>sum(AP12:AS12)</f>
        <v>417150.3772</v>
      </c>
      <c r="AU12" s="25">
        <f t="shared" ref="AU12:AX12" si="12">Q46*AU5</f>
        <v>112224.7334</v>
      </c>
      <c r="AV12" s="25">
        <f t="shared" si="12"/>
        <v>115591.4754</v>
      </c>
      <c r="AW12" s="25">
        <f t="shared" si="12"/>
        <v>119059.2196</v>
      </c>
      <c r="AX12" s="25">
        <f t="shared" si="12"/>
        <v>122630.9962</v>
      </c>
      <c r="AY12" s="25">
        <f>sum(AU12:AX12)</f>
        <v>469506.4246</v>
      </c>
      <c r="AZ12" s="22"/>
      <c r="BA12" s="22"/>
      <c r="BB12" s="22"/>
      <c r="BC12" s="22"/>
      <c r="BD12" s="22"/>
      <c r="BE12" s="22"/>
      <c r="BF12" s="22"/>
      <c r="BG12" s="22"/>
      <c r="BH12" s="22"/>
      <c r="BI12" s="22"/>
      <c r="BJ12" s="22"/>
      <c r="BK12" s="22"/>
      <c r="BL12" s="22"/>
      <c r="BM12" s="22"/>
      <c r="BN12" s="22"/>
      <c r="BO12" s="22"/>
      <c r="BP12" s="22"/>
      <c r="BQ12" s="22"/>
      <c r="BR12" s="22"/>
      <c r="BS12" s="22"/>
    </row>
    <row r="13" ht="15.75" customHeight="1">
      <c r="A13" s="2" t="s">
        <v>140</v>
      </c>
      <c r="B13" s="2">
        <f t="shared" ref="B13:AY13" si="13">B12/B5</f>
        <v>0.5607489045</v>
      </c>
      <c r="C13" s="2">
        <f t="shared" si="13"/>
        <v>0.6071865443</v>
      </c>
      <c r="D13" s="2">
        <f t="shared" si="13"/>
        <v>0.5696608616</v>
      </c>
      <c r="E13" s="2">
        <f t="shared" si="13"/>
        <v>0.6379853095</v>
      </c>
      <c r="F13" s="2">
        <f t="shared" si="13"/>
        <v>0.5533855458</v>
      </c>
      <c r="G13" s="2">
        <f t="shared" si="13"/>
        <v>0.6300199373</v>
      </c>
      <c r="H13" s="2">
        <f t="shared" si="13"/>
        <v>0.7463754817</v>
      </c>
      <c r="I13" s="2">
        <f t="shared" si="13"/>
        <v>0.648467433</v>
      </c>
      <c r="J13" s="2">
        <f t="shared" si="13"/>
        <v>0.6086654894</v>
      </c>
      <c r="K13" s="2">
        <f t="shared" si="13"/>
        <v>0.7036357458</v>
      </c>
      <c r="L13" s="2">
        <f t="shared" si="13"/>
        <v>0.6309561543</v>
      </c>
      <c r="M13" s="2">
        <f t="shared" si="13"/>
        <v>0.6110425815</v>
      </c>
      <c r="N13" s="2">
        <f t="shared" si="13"/>
        <v>0.6292852186</v>
      </c>
      <c r="O13" s="2">
        <f t="shared" si="13"/>
        <v>0.6607028462</v>
      </c>
      <c r="P13" s="2">
        <f t="shared" si="13"/>
        <v>0.7037053125</v>
      </c>
      <c r="Q13" s="2">
        <f t="shared" si="13"/>
        <v>0.6678922048</v>
      </c>
      <c r="R13" s="2">
        <f t="shared" si="13"/>
        <v>0.6743538484</v>
      </c>
      <c r="S13" s="2">
        <f t="shared" si="13"/>
        <v>0.7073288665</v>
      </c>
      <c r="T13" s="2">
        <f t="shared" si="13"/>
        <v>0.7162597744</v>
      </c>
      <c r="U13" s="2">
        <f t="shared" si="13"/>
        <v>0.669445581</v>
      </c>
      <c r="V13" s="2">
        <f t="shared" si="13"/>
        <v>0.655234875</v>
      </c>
      <c r="W13" s="2">
        <f t="shared" si="13"/>
        <v>0.7108801076</v>
      </c>
      <c r="X13" s="2">
        <f t="shared" si="13"/>
        <v>0.6693307454</v>
      </c>
      <c r="Y13" s="2">
        <f t="shared" si="13"/>
        <v>0.6694541184</v>
      </c>
      <c r="Z13" s="2">
        <f t="shared" si="13"/>
        <v>0.6755640602</v>
      </c>
      <c r="AA13" s="2">
        <f t="shared" si="13"/>
        <v>0.7233546169</v>
      </c>
      <c r="AB13" s="2">
        <f t="shared" si="13"/>
        <v>0.8219006906</v>
      </c>
      <c r="AC13" s="32">
        <f t="shared" si="13"/>
        <v>0.7</v>
      </c>
      <c r="AD13" s="32">
        <f t="shared" si="13"/>
        <v>0.7</v>
      </c>
      <c r="AE13" s="32">
        <f t="shared" si="13"/>
        <v>0.735298969</v>
      </c>
      <c r="AF13" s="32">
        <f t="shared" si="13"/>
        <v>0.7</v>
      </c>
      <c r="AG13" s="32">
        <f t="shared" si="13"/>
        <v>0.7</v>
      </c>
      <c r="AH13" s="32">
        <f t="shared" si="13"/>
        <v>0.7</v>
      </c>
      <c r="AI13" s="32">
        <f t="shared" si="13"/>
        <v>0.7</v>
      </c>
      <c r="AJ13" s="32">
        <f t="shared" si="13"/>
        <v>0.7</v>
      </c>
      <c r="AK13" s="32">
        <f t="shared" si="13"/>
        <v>0.7</v>
      </c>
      <c r="AL13" s="32">
        <f t="shared" si="13"/>
        <v>0.7</v>
      </c>
      <c r="AM13" s="32">
        <f t="shared" si="13"/>
        <v>0.7</v>
      </c>
      <c r="AN13" s="32">
        <f t="shared" si="13"/>
        <v>0.7</v>
      </c>
      <c r="AO13" s="32">
        <f t="shared" si="13"/>
        <v>0.7</v>
      </c>
      <c r="AP13" s="32">
        <f t="shared" si="13"/>
        <v>0.7</v>
      </c>
      <c r="AQ13" s="32">
        <f t="shared" si="13"/>
        <v>0.7</v>
      </c>
      <c r="AR13" s="32">
        <f t="shared" si="13"/>
        <v>0.7</v>
      </c>
      <c r="AS13" s="32">
        <f t="shared" si="13"/>
        <v>0.7</v>
      </c>
      <c r="AT13" s="32">
        <f t="shared" si="13"/>
        <v>0.7</v>
      </c>
      <c r="AU13" s="32">
        <f t="shared" si="13"/>
        <v>0.7</v>
      </c>
      <c r="AV13" s="32">
        <f t="shared" si="13"/>
        <v>0.7</v>
      </c>
      <c r="AW13" s="32">
        <f t="shared" si="13"/>
        <v>0.7</v>
      </c>
      <c r="AX13" s="32">
        <f t="shared" si="13"/>
        <v>0.7</v>
      </c>
      <c r="AY13" s="32">
        <f t="shared" si="13"/>
        <v>0.7</v>
      </c>
      <c r="AZ13" s="2"/>
      <c r="BA13" s="2"/>
      <c r="BB13" s="2"/>
      <c r="BC13" s="2"/>
      <c r="BD13" s="2"/>
      <c r="BE13" s="2"/>
      <c r="BF13" s="2"/>
      <c r="BG13" s="2"/>
      <c r="BH13" s="2"/>
      <c r="BI13" s="2"/>
      <c r="BJ13" s="2"/>
      <c r="BK13" s="2"/>
      <c r="BL13" s="2"/>
      <c r="BM13" s="2"/>
      <c r="BN13" s="2"/>
      <c r="BO13" s="2"/>
      <c r="BP13" s="2"/>
      <c r="BQ13" s="2"/>
      <c r="BR13" s="2"/>
      <c r="BS13" s="2"/>
    </row>
    <row r="14" ht="15.75" customHeight="1">
      <c r="A14" s="2" t="s">
        <v>139</v>
      </c>
      <c r="B14" s="2">
        <f t="shared" ref="B14:AY14" si="14">B12/B15</f>
        <v>0.217747757</v>
      </c>
      <c r="C14" s="2">
        <f t="shared" si="14"/>
        <v>0.213781965</v>
      </c>
      <c r="D14" s="2">
        <f t="shared" si="14"/>
        <v>0.2232198976</v>
      </c>
      <c r="E14" s="2">
        <f t="shared" si="14"/>
        <v>0.1801815151</v>
      </c>
      <c r="F14" s="2">
        <f t="shared" si="14"/>
        <v>0.1906876644</v>
      </c>
      <c r="G14" s="2">
        <f t="shared" si="14"/>
        <v>0.2101196884</v>
      </c>
      <c r="H14" s="2">
        <f t="shared" si="14"/>
        <v>0.217748628</v>
      </c>
      <c r="I14" s="2">
        <f t="shared" si="14"/>
        <v>0.2027086164</v>
      </c>
      <c r="J14" s="2">
        <f t="shared" si="14"/>
        <v>0.2058001919</v>
      </c>
      <c r="K14" s="2">
        <f t="shared" si="14"/>
        <v>0.1903623761</v>
      </c>
      <c r="L14" s="2">
        <f t="shared" si="14"/>
        <v>0.194126156</v>
      </c>
      <c r="M14" s="2">
        <f t="shared" si="14"/>
        <v>0.1855781334</v>
      </c>
      <c r="N14" s="2">
        <f t="shared" si="14"/>
        <v>0.1732628495</v>
      </c>
      <c r="O14" s="2">
        <f t="shared" si="14"/>
        <v>0.1596669321</v>
      </c>
      <c r="P14" s="2">
        <f t="shared" si="14"/>
        <v>0.1593484419</v>
      </c>
      <c r="Q14" s="2">
        <f t="shared" si="14"/>
        <v>0.1516249334</v>
      </c>
      <c r="R14" s="2">
        <f t="shared" si="14"/>
        <v>0.1489371767</v>
      </c>
      <c r="S14" s="2">
        <f t="shared" si="14"/>
        <v>0.1456956469</v>
      </c>
      <c r="T14" s="2">
        <f t="shared" si="14"/>
        <v>0.1516735344</v>
      </c>
      <c r="U14" s="2">
        <f t="shared" si="14"/>
        <v>0.149074053</v>
      </c>
      <c r="V14" s="2">
        <f t="shared" si="14"/>
        <v>0.1603143651</v>
      </c>
      <c r="W14" s="2">
        <f t="shared" si="14"/>
        <v>0.1618821651</v>
      </c>
      <c r="X14" s="2">
        <f t="shared" si="14"/>
        <v>0.1803757872</v>
      </c>
      <c r="Y14" s="2">
        <f t="shared" si="14"/>
        <v>0.1585207986</v>
      </c>
      <c r="Z14" s="2">
        <f t="shared" si="14"/>
        <v>0.1653754087</v>
      </c>
      <c r="AA14" s="2">
        <f t="shared" si="14"/>
        <v>0.1570912388</v>
      </c>
      <c r="AB14" s="2">
        <f t="shared" si="14"/>
        <v>0.1579226709</v>
      </c>
      <c r="AC14" s="32">
        <f t="shared" si="14"/>
        <v>0.1354638139</v>
      </c>
      <c r="AD14" s="32">
        <f t="shared" si="14"/>
        <v>0.1348181157</v>
      </c>
      <c r="AE14" s="32">
        <f t="shared" si="14"/>
        <v>0.1459564907</v>
      </c>
      <c r="AF14" s="32">
        <f t="shared" si="14"/>
        <v>0.1584372413</v>
      </c>
      <c r="AG14" s="32">
        <f t="shared" si="14"/>
        <v>0.1798036734</v>
      </c>
      <c r="AH14" s="32">
        <f t="shared" si="14"/>
        <v>0.2036994254</v>
      </c>
      <c r="AI14" s="32">
        <f t="shared" si="14"/>
        <v>0.2302244568</v>
      </c>
      <c r="AJ14" s="32">
        <f t="shared" si="14"/>
        <v>0.1959906409</v>
      </c>
      <c r="AK14" s="32">
        <f t="shared" si="14"/>
        <v>0.2239902804</v>
      </c>
      <c r="AL14" s="32">
        <f t="shared" si="14"/>
        <v>0.2181564464</v>
      </c>
      <c r="AM14" s="32">
        <f t="shared" si="14"/>
        <v>0.2126862375</v>
      </c>
      <c r="AN14" s="32">
        <f t="shared" si="14"/>
        <v>0.2075474823</v>
      </c>
      <c r="AO14" s="32">
        <f t="shared" si="14"/>
        <v>0.2152192153</v>
      </c>
      <c r="AP14" s="32">
        <f t="shared" si="14"/>
        <v>0.2027117018</v>
      </c>
      <c r="AQ14" s="32">
        <f t="shared" si="14"/>
        <v>0.1981535951</v>
      </c>
      <c r="AR14" s="32">
        <f t="shared" si="14"/>
        <v>0.1938506079</v>
      </c>
      <c r="AS14" s="32">
        <f t="shared" si="14"/>
        <v>0.1897825697</v>
      </c>
      <c r="AT14" s="32">
        <f t="shared" si="14"/>
        <v>0.1958474933</v>
      </c>
      <c r="AU14" s="32">
        <f t="shared" si="14"/>
        <v>0.1866744962</v>
      </c>
      <c r="AV14" s="32">
        <f t="shared" si="14"/>
        <v>0.1837466585</v>
      </c>
      <c r="AW14" s="32">
        <f t="shared" si="14"/>
        <v>0.1809857117</v>
      </c>
      <c r="AX14" s="32">
        <f t="shared" si="14"/>
        <v>0.178379619</v>
      </c>
      <c r="AY14" s="32">
        <f t="shared" si="14"/>
        <v>0.182292304</v>
      </c>
      <c r="AZ14" s="2"/>
      <c r="BA14" s="2"/>
      <c r="BB14" s="2"/>
      <c r="BC14" s="2"/>
      <c r="BD14" s="2"/>
      <c r="BE14" s="2"/>
      <c r="BF14" s="2"/>
      <c r="BG14" s="2"/>
      <c r="BH14" s="2"/>
      <c r="BI14" s="2"/>
      <c r="BJ14" s="2"/>
      <c r="BK14" s="2"/>
      <c r="BL14" s="2"/>
      <c r="BM14" s="2"/>
      <c r="BN14" s="2"/>
      <c r="BO14" s="2"/>
      <c r="BP14" s="2"/>
      <c r="BQ14" s="2"/>
      <c r="BR14" s="2"/>
      <c r="BS14" s="2"/>
    </row>
    <row r="15" ht="15.75" customHeight="1">
      <c r="A15" s="13" t="s">
        <v>141</v>
      </c>
      <c r="B15" s="13">
        <f t="shared" ref="B15:AY15" si="15">B9+B12</f>
        <v>19394</v>
      </c>
      <c r="C15" s="13">
        <f t="shared" si="15"/>
        <v>18575</v>
      </c>
      <c r="D15" s="13">
        <f t="shared" si="15"/>
        <v>22274</v>
      </c>
      <c r="E15" s="13">
        <f t="shared" si="15"/>
        <v>26995</v>
      </c>
      <c r="F15" s="13">
        <f t="shared" si="15"/>
        <v>29273</v>
      </c>
      <c r="G15" s="13">
        <f t="shared" si="15"/>
        <v>31582</v>
      </c>
      <c r="H15" s="13">
        <f t="shared" si="15"/>
        <v>37355</v>
      </c>
      <c r="I15" s="13">
        <f t="shared" si="15"/>
        <v>43417</v>
      </c>
      <c r="J15" s="13">
        <f t="shared" si="15"/>
        <v>46895</v>
      </c>
      <c r="K15" s="13">
        <f t="shared" si="15"/>
        <v>54391</v>
      </c>
      <c r="L15" s="13">
        <f t="shared" si="15"/>
        <v>61527</v>
      </c>
      <c r="M15" s="13">
        <f t="shared" si="15"/>
        <v>66732</v>
      </c>
      <c r="N15" s="13">
        <f t="shared" si="15"/>
        <v>78505</v>
      </c>
      <c r="O15" s="13">
        <f t="shared" si="15"/>
        <v>90432</v>
      </c>
      <c r="P15" s="13">
        <f t="shared" si="15"/>
        <v>101664</v>
      </c>
      <c r="Q15" s="13">
        <f t="shared" si="15"/>
        <v>112620</v>
      </c>
      <c r="R15" s="13">
        <f t="shared" si="15"/>
        <v>126832</v>
      </c>
      <c r="S15" s="13">
        <f t="shared" si="15"/>
        <v>140567</v>
      </c>
      <c r="T15" s="13">
        <f t="shared" si="15"/>
        <v>158228</v>
      </c>
      <c r="U15" s="13">
        <f t="shared" si="15"/>
        <v>175604</v>
      </c>
      <c r="V15" s="13">
        <f t="shared" si="15"/>
        <v>169230</v>
      </c>
      <c r="W15" s="13">
        <f t="shared" si="15"/>
        <v>182917</v>
      </c>
      <c r="X15" s="13">
        <f t="shared" si="15"/>
        <v>195004</v>
      </c>
      <c r="Y15" s="13">
        <f t="shared" si="15"/>
        <v>208572</v>
      </c>
      <c r="Z15" s="13">
        <f t="shared" si="15"/>
        <v>755723</v>
      </c>
      <c r="AA15" s="13">
        <f t="shared" si="15"/>
        <v>225003</v>
      </c>
      <c r="AB15" s="13">
        <f t="shared" si="15"/>
        <v>237401</v>
      </c>
      <c r="AC15" s="31">
        <f t="shared" si="15"/>
        <v>242783.7667</v>
      </c>
      <c r="AD15" s="31">
        <f t="shared" si="15"/>
        <v>251264.9525</v>
      </c>
      <c r="AE15" s="31">
        <f t="shared" si="15"/>
        <v>956452.7192</v>
      </c>
      <c r="AF15" s="31">
        <f t="shared" si="15"/>
        <v>277949.7253</v>
      </c>
      <c r="AG15" s="31">
        <f t="shared" si="15"/>
        <v>306150.5005</v>
      </c>
      <c r="AH15" s="31">
        <f t="shared" si="15"/>
        <v>337795.4092</v>
      </c>
      <c r="AI15" s="31">
        <f t="shared" si="15"/>
        <v>373595.9013</v>
      </c>
      <c r="AJ15" s="31">
        <f t="shared" si="15"/>
        <v>1295491.536</v>
      </c>
      <c r="AK15" s="31">
        <f t="shared" si="15"/>
        <v>395513.7728</v>
      </c>
      <c r="AL15" s="31">
        <f t="shared" si="15"/>
        <v>418273.1228</v>
      </c>
      <c r="AM15" s="31">
        <f t="shared" si="15"/>
        <v>441901.8762</v>
      </c>
      <c r="AN15" s="31">
        <f t="shared" si="15"/>
        <v>466428.4037</v>
      </c>
      <c r="AO15" s="31">
        <f t="shared" si="15"/>
        <v>1722117.175</v>
      </c>
      <c r="AP15" s="31">
        <f t="shared" si="15"/>
        <v>491881.9249</v>
      </c>
      <c r="AQ15" s="31">
        <f t="shared" si="15"/>
        <v>518292.533</v>
      </c>
      <c r="AR15" s="31">
        <f t="shared" si="15"/>
        <v>545691.2193</v>
      </c>
      <c r="AS15" s="31">
        <f t="shared" si="15"/>
        <v>574109.8985</v>
      </c>
      <c r="AT15" s="31">
        <f t="shared" si="15"/>
        <v>2129975.576</v>
      </c>
      <c r="AU15" s="31">
        <f t="shared" si="15"/>
        <v>601178.7129</v>
      </c>
      <c r="AV15" s="31">
        <f t="shared" si="15"/>
        <v>629080.6936</v>
      </c>
      <c r="AW15" s="31">
        <f t="shared" si="15"/>
        <v>657837.6741</v>
      </c>
      <c r="AX15" s="31">
        <f t="shared" si="15"/>
        <v>687472.0158</v>
      </c>
      <c r="AY15" s="31">
        <f t="shared" si="15"/>
        <v>2575569.096</v>
      </c>
      <c r="AZ15" s="13"/>
      <c r="BA15" s="13"/>
      <c r="BB15" s="13"/>
      <c r="BC15" s="13"/>
      <c r="BD15" s="13"/>
      <c r="BE15" s="13"/>
      <c r="BF15" s="13"/>
      <c r="BG15" s="13"/>
      <c r="BH15" s="13"/>
      <c r="BI15" s="13"/>
      <c r="BJ15" s="13"/>
      <c r="BK15" s="13"/>
      <c r="BL15" s="13"/>
      <c r="BM15" s="13"/>
      <c r="BN15" s="13"/>
      <c r="BO15" s="13"/>
      <c r="BP15" s="13"/>
      <c r="BQ15" s="13"/>
      <c r="BR15" s="13"/>
      <c r="BS15" s="13"/>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25"/>
      <c r="AD16" s="25"/>
      <c r="AE16" s="26"/>
      <c r="AF16" s="25"/>
      <c r="AG16" s="25"/>
      <c r="AH16" s="25"/>
      <c r="AI16" s="25"/>
      <c r="AJ16" s="26"/>
      <c r="AK16" s="25"/>
      <c r="AL16" s="25"/>
      <c r="AM16" s="25"/>
      <c r="AN16" s="25"/>
      <c r="AO16" s="26"/>
      <c r="AP16" s="25"/>
      <c r="AQ16" s="25"/>
      <c r="AR16" s="25"/>
      <c r="AS16" s="25"/>
      <c r="AT16" s="26"/>
      <c r="AU16" s="25"/>
      <c r="AV16" s="25"/>
      <c r="AW16" s="25"/>
      <c r="AX16" s="25"/>
      <c r="AY16" s="26"/>
      <c r="AZ16" s="14"/>
      <c r="BA16" s="14"/>
      <c r="BB16" s="14"/>
      <c r="BC16" s="14"/>
      <c r="BD16" s="14"/>
      <c r="BE16" s="14"/>
      <c r="BF16" s="14"/>
      <c r="BG16" s="14"/>
      <c r="BH16" s="14"/>
      <c r="BI16" s="14"/>
      <c r="BJ16" s="14"/>
      <c r="BK16" s="14"/>
      <c r="BL16" s="14"/>
      <c r="BM16" s="14"/>
      <c r="BN16" s="14"/>
      <c r="BO16" s="14"/>
      <c r="BP16" s="14"/>
      <c r="BQ16" s="14"/>
      <c r="BR16" s="14"/>
      <c r="BS16" s="14"/>
    </row>
    <row r="17" ht="15.75" customHeight="1">
      <c r="A17" s="13" t="s">
        <v>142</v>
      </c>
      <c r="B17" s="14" t="s">
        <v>143</v>
      </c>
      <c r="C17" s="14">
        <v>1.0</v>
      </c>
      <c r="D17" s="14" t="s">
        <v>144</v>
      </c>
      <c r="E17" s="14">
        <v>1.0</v>
      </c>
      <c r="F17" s="14" t="s">
        <v>145</v>
      </c>
      <c r="G17" s="14">
        <v>1.0</v>
      </c>
      <c r="H17" s="14"/>
      <c r="I17" s="14"/>
      <c r="J17" s="14"/>
      <c r="K17" s="14"/>
      <c r="L17" s="14"/>
      <c r="M17" s="14"/>
      <c r="N17" s="14"/>
      <c r="O17" s="14"/>
      <c r="P17" s="14"/>
      <c r="Q17" s="14"/>
      <c r="R17" s="14"/>
      <c r="S17" s="14"/>
      <c r="T17" s="14"/>
      <c r="U17" s="14"/>
      <c r="V17" s="14"/>
      <c r="W17" s="14"/>
      <c r="X17" s="14"/>
      <c r="Y17" s="14"/>
      <c r="Z17" s="14"/>
      <c r="AA17" s="14"/>
      <c r="AB17" s="14"/>
      <c r="AC17" s="25"/>
      <c r="AD17" s="25"/>
      <c r="AE17" s="26"/>
      <c r="AF17" s="25"/>
      <c r="AG17" s="25"/>
      <c r="AH17" s="25"/>
      <c r="AI17" s="25"/>
      <c r="AJ17" s="26"/>
      <c r="AK17" s="25"/>
      <c r="AL17" s="25"/>
      <c r="AM17" s="25"/>
      <c r="AN17" s="25"/>
      <c r="AO17" s="26"/>
      <c r="AP17" s="25"/>
      <c r="AQ17" s="25"/>
      <c r="AR17" s="25"/>
      <c r="AS17" s="25"/>
      <c r="AT17" s="26"/>
      <c r="AU17" s="25"/>
      <c r="AV17" s="25"/>
      <c r="AW17" s="25"/>
      <c r="AX17" s="25"/>
      <c r="AY17" s="26"/>
      <c r="AZ17" s="14"/>
      <c r="BA17" s="14"/>
      <c r="BB17" s="14"/>
      <c r="BC17" s="14"/>
      <c r="BD17" s="14"/>
      <c r="BE17" s="14"/>
      <c r="BF17" s="14"/>
      <c r="BG17" s="14"/>
      <c r="BH17" s="14"/>
      <c r="BI17" s="14"/>
      <c r="BJ17" s="14"/>
      <c r="BK17" s="14"/>
      <c r="BL17" s="14"/>
      <c r="BM17" s="14"/>
      <c r="BN17" s="14"/>
      <c r="BO17" s="14"/>
      <c r="BP17" s="14"/>
      <c r="BQ17" s="14"/>
      <c r="BR17" s="14"/>
      <c r="BS17" s="14"/>
    </row>
    <row r="18" ht="15.75" customHeight="1">
      <c r="A18" s="25" t="s">
        <v>146</v>
      </c>
      <c r="B18" s="22">
        <v>36617.0</v>
      </c>
      <c r="C18" s="22">
        <v>40113.0</v>
      </c>
      <c r="D18" s="22">
        <v>46614.0</v>
      </c>
      <c r="E18" s="22">
        <v>49338.0</v>
      </c>
      <c r="F18" s="22">
        <v>56843.0</v>
      </c>
      <c r="G18" s="22">
        <v>65274.0</v>
      </c>
      <c r="H18" s="22">
        <v>68675.0</v>
      </c>
      <c r="I18" s="22">
        <v>75803.0</v>
      </c>
      <c r="J18" s="22">
        <v>88138.0</v>
      </c>
      <c r="K18" s="22">
        <v>95127.0</v>
      </c>
      <c r="L18" s="22">
        <v>105602.0</v>
      </c>
      <c r="M18" s="22">
        <v>112449.0</v>
      </c>
      <c r="N18" s="22">
        <v>135131.0</v>
      </c>
      <c r="O18" s="22">
        <v>153861.0</v>
      </c>
      <c r="P18" s="22">
        <v>164960.0</v>
      </c>
      <c r="Q18" s="22">
        <v>162594.0</v>
      </c>
      <c r="R18" s="22">
        <v>193532.0</v>
      </c>
      <c r="S18" s="22">
        <v>224766.0</v>
      </c>
      <c r="T18" s="22">
        <v>239672.0</v>
      </c>
      <c r="U18" s="22">
        <v>246439.0</v>
      </c>
      <c r="V18" s="22">
        <v>281107.0</v>
      </c>
      <c r="W18" s="22">
        <v>282916.0</v>
      </c>
      <c r="X18" s="22">
        <v>286186.0</v>
      </c>
      <c r="Y18" s="22">
        <v>290357.0</v>
      </c>
      <c r="Z18" s="22">
        <f>sum(V18:Y18)</f>
        <v>1140566</v>
      </c>
      <c r="AA18" s="22">
        <v>350114.0</v>
      </c>
      <c r="AB18" s="22">
        <v>355471.0</v>
      </c>
      <c r="AC18" s="25">
        <f t="shared" ref="AC18:AD18" si="16">C54*AC6</f>
        <v>350368.6307</v>
      </c>
      <c r="AD18" s="25">
        <f t="shared" si="16"/>
        <v>352627.096</v>
      </c>
      <c r="AE18" s="25">
        <f>sum(AA18:AD18)</f>
        <v>1408580.727</v>
      </c>
      <c r="AF18" s="25">
        <f t="shared" ref="AF18:AI18" si="17">E54*AF6</f>
        <v>394151.74</v>
      </c>
      <c r="AG18" s="25">
        <f t="shared" si="17"/>
        <v>427006.3585</v>
      </c>
      <c r="AH18" s="25">
        <f t="shared" si="17"/>
        <v>462337.7174</v>
      </c>
      <c r="AI18" s="25">
        <f t="shared" si="17"/>
        <v>500527.0283</v>
      </c>
      <c r="AJ18" s="25">
        <f>sum(AF18:AI18)</f>
        <v>1784022.844</v>
      </c>
      <c r="AK18" s="25">
        <f t="shared" ref="AK18:AN18" si="18">I54*AK6</f>
        <v>517364.8533</v>
      </c>
      <c r="AL18" s="25">
        <f t="shared" si="18"/>
        <v>549721.8831</v>
      </c>
      <c r="AM18" s="25">
        <f t="shared" si="18"/>
        <v>583338.0411</v>
      </c>
      <c r="AN18" s="25">
        <f t="shared" si="18"/>
        <v>618254.6377</v>
      </c>
      <c r="AO18" s="25">
        <f>sum(AK18:AN18)</f>
        <v>2268679.415</v>
      </c>
      <c r="AP18" s="25">
        <f t="shared" ref="AP18:AS18" si="19">M54*AP6</f>
        <v>635263.8018</v>
      </c>
      <c r="AQ18" s="25">
        <f t="shared" si="19"/>
        <v>671802.9414</v>
      </c>
      <c r="AR18" s="25">
        <f t="shared" si="19"/>
        <v>709731.8951</v>
      </c>
      <c r="AS18" s="25">
        <f t="shared" si="19"/>
        <v>749095.7659</v>
      </c>
      <c r="AT18" s="25">
        <f>sum(AP18:AS18)</f>
        <v>2765894.404</v>
      </c>
      <c r="AU18" s="25">
        <f t="shared" ref="AU18:AX18" si="20">Q54*AU6</f>
        <v>762508.5237</v>
      </c>
      <c r="AV18" s="25">
        <f t="shared" si="20"/>
        <v>799735.2256</v>
      </c>
      <c r="AW18" s="25">
        <f t="shared" si="20"/>
        <v>838104.8238</v>
      </c>
      <c r="AX18" s="25">
        <f t="shared" si="20"/>
        <v>877646.8215</v>
      </c>
      <c r="AY18" s="25">
        <f>sum(AU18:AX18)</f>
        <v>3277995.395</v>
      </c>
      <c r="AZ18" s="22"/>
      <c r="BA18" s="22"/>
      <c r="BB18" s="22"/>
      <c r="BC18" s="22"/>
      <c r="BD18" s="22"/>
      <c r="BE18" s="22"/>
      <c r="BF18" s="22"/>
      <c r="BG18" s="22"/>
      <c r="BH18" s="22"/>
      <c r="BI18" s="22"/>
      <c r="BJ18" s="22"/>
      <c r="BK18" s="22"/>
      <c r="BL18" s="22"/>
      <c r="BM18" s="22"/>
      <c r="BN18" s="22"/>
      <c r="BO18" s="22"/>
      <c r="BP18" s="22"/>
      <c r="BQ18" s="22"/>
      <c r="BR18" s="22"/>
      <c r="BS18" s="22"/>
    </row>
    <row r="19" ht="15.75" customHeight="1">
      <c r="A19" s="2" t="s">
        <v>147</v>
      </c>
      <c r="B19" s="2">
        <f t="shared" ref="B19:AY19" si="21">B18/B6</f>
        <v>0.7743238385</v>
      </c>
      <c r="C19" s="2">
        <f t="shared" si="21"/>
        <v>0.7201486508</v>
      </c>
      <c r="D19" s="2">
        <f t="shared" si="21"/>
        <v>0.7022401663</v>
      </c>
      <c r="E19" s="2">
        <f t="shared" si="21"/>
        <v>0.6132372133</v>
      </c>
      <c r="F19" s="2">
        <f t="shared" si="21"/>
        <v>0.5916400387</v>
      </c>
      <c r="G19" s="2">
        <f t="shared" si="21"/>
        <v>0.6037851038</v>
      </c>
      <c r="H19" s="2">
        <f t="shared" si="21"/>
        <v>0.5488774686</v>
      </c>
      <c r="I19" s="2">
        <f t="shared" si="21"/>
        <v>0.4983465804</v>
      </c>
      <c r="J19" s="2">
        <f t="shared" si="21"/>
        <v>0.4949404194</v>
      </c>
      <c r="K19" s="2">
        <f t="shared" si="21"/>
        <v>0.4780947977</v>
      </c>
      <c r="L19" s="2">
        <f t="shared" si="21"/>
        <v>0.4542803063</v>
      </c>
      <c r="M19" s="2">
        <f t="shared" si="21"/>
        <v>0.4244495695</v>
      </c>
      <c r="N19" s="2">
        <f t="shared" si="21"/>
        <v>0.4462081012</v>
      </c>
      <c r="O19" s="2">
        <f t="shared" si="21"/>
        <v>0.4556279428</v>
      </c>
      <c r="P19" s="2">
        <f t="shared" si="21"/>
        <v>0.4340470095</v>
      </c>
      <c r="Q19" s="2">
        <f t="shared" si="21"/>
        <v>0.3772395072</v>
      </c>
      <c r="R19" s="2">
        <f t="shared" si="21"/>
        <v>0.396716916</v>
      </c>
      <c r="S19" s="2">
        <f t="shared" si="21"/>
        <v>0.4200032514</v>
      </c>
      <c r="T19" s="2">
        <f t="shared" si="21"/>
        <v>0.4126001494</v>
      </c>
      <c r="U19" s="2">
        <f t="shared" si="21"/>
        <v>0.3866516465</v>
      </c>
      <c r="V19" s="2">
        <f t="shared" si="21"/>
        <v>0.4058837968</v>
      </c>
      <c r="W19" s="2">
        <f t="shared" si="21"/>
        <v>0.3866948414</v>
      </c>
      <c r="X19" s="2">
        <f t="shared" si="21"/>
        <v>0.3640978405</v>
      </c>
      <c r="Y19" s="2">
        <f t="shared" si="21"/>
        <v>0.3434815783</v>
      </c>
      <c r="Z19" s="2">
        <f t="shared" si="21"/>
        <v>0.3732762133</v>
      </c>
      <c r="AA19" s="2">
        <f t="shared" si="21"/>
        <v>0.3801306355</v>
      </c>
      <c r="AB19" s="2">
        <f t="shared" si="21"/>
        <v>0.3687948192</v>
      </c>
      <c r="AC19" s="32">
        <f t="shared" si="21"/>
        <v>0.35</v>
      </c>
      <c r="AD19" s="32">
        <f t="shared" si="21"/>
        <v>0.3402</v>
      </c>
      <c r="AE19" s="32">
        <f t="shared" si="21"/>
        <v>0.3591037116</v>
      </c>
      <c r="AF19" s="32">
        <f t="shared" si="21"/>
        <v>0.35</v>
      </c>
      <c r="AG19" s="32">
        <f t="shared" si="21"/>
        <v>0.35</v>
      </c>
      <c r="AH19" s="32">
        <f t="shared" si="21"/>
        <v>0.35</v>
      </c>
      <c r="AI19" s="32">
        <f t="shared" si="21"/>
        <v>0.35</v>
      </c>
      <c r="AJ19" s="32">
        <f t="shared" si="21"/>
        <v>0.35</v>
      </c>
      <c r="AK19" s="32">
        <f t="shared" si="21"/>
        <v>0.34</v>
      </c>
      <c r="AL19" s="32">
        <f t="shared" si="21"/>
        <v>0.34</v>
      </c>
      <c r="AM19" s="32">
        <f t="shared" si="21"/>
        <v>0.34</v>
      </c>
      <c r="AN19" s="32">
        <f t="shared" si="21"/>
        <v>0.34</v>
      </c>
      <c r="AO19" s="32">
        <f t="shared" si="21"/>
        <v>0.34</v>
      </c>
      <c r="AP19" s="32">
        <f t="shared" si="21"/>
        <v>0.33</v>
      </c>
      <c r="AQ19" s="32">
        <f t="shared" si="21"/>
        <v>0.33</v>
      </c>
      <c r="AR19" s="32">
        <f t="shared" si="21"/>
        <v>0.33</v>
      </c>
      <c r="AS19" s="32">
        <f t="shared" si="21"/>
        <v>0.33</v>
      </c>
      <c r="AT19" s="32">
        <f t="shared" si="21"/>
        <v>0.33</v>
      </c>
      <c r="AU19" s="32">
        <f t="shared" si="21"/>
        <v>0.32</v>
      </c>
      <c r="AV19" s="32">
        <f t="shared" si="21"/>
        <v>0.32</v>
      </c>
      <c r="AW19" s="32">
        <f t="shared" si="21"/>
        <v>0.32</v>
      </c>
      <c r="AX19" s="32">
        <f t="shared" si="21"/>
        <v>0.32</v>
      </c>
      <c r="AY19" s="32">
        <f t="shared" si="21"/>
        <v>0.32</v>
      </c>
      <c r="AZ19" s="2"/>
      <c r="BA19" s="2"/>
      <c r="BB19" s="2"/>
      <c r="BC19" s="2"/>
      <c r="BD19" s="2"/>
      <c r="BE19" s="2"/>
      <c r="BF19" s="2"/>
      <c r="BG19" s="2"/>
      <c r="BH19" s="2"/>
      <c r="BI19" s="2"/>
      <c r="BJ19" s="2"/>
      <c r="BK19" s="2"/>
      <c r="BL19" s="2"/>
      <c r="BM19" s="2"/>
      <c r="BN19" s="2"/>
      <c r="BO19" s="2"/>
      <c r="BP19" s="2"/>
      <c r="BQ19" s="2"/>
      <c r="BR19" s="2"/>
      <c r="BS19" s="2"/>
    </row>
    <row r="20" ht="15.75" customHeight="1">
      <c r="A20" s="2" t="s">
        <v>148</v>
      </c>
      <c r="B20" s="2">
        <f t="shared" ref="B20:AY20" si="22">B18/B$27</f>
        <v>0.6001901359</v>
      </c>
      <c r="C20" s="2">
        <f t="shared" si="22"/>
        <v>0.5938004234</v>
      </c>
      <c r="D20" s="2">
        <f t="shared" si="22"/>
        <v>0.540790756</v>
      </c>
      <c r="E20" s="2">
        <f t="shared" si="22"/>
        <v>0.5825579748</v>
      </c>
      <c r="F20" s="2">
        <f t="shared" si="22"/>
        <v>0.6139945344</v>
      </c>
      <c r="G20" s="2">
        <f t="shared" si="22"/>
        <v>0.513301616</v>
      </c>
      <c r="H20" s="2">
        <f t="shared" si="22"/>
        <v>0.5438225559</v>
      </c>
      <c r="I20" s="2">
        <f t="shared" si="22"/>
        <v>0.5421276596</v>
      </c>
      <c r="J20" s="2">
        <f t="shared" si="22"/>
        <v>0.5732217301</v>
      </c>
      <c r="K20" s="2">
        <f t="shared" si="22"/>
        <v>0.5449186864</v>
      </c>
      <c r="L20" s="2">
        <f t="shared" si="22"/>
        <v>0.5412933385</v>
      </c>
      <c r="M20" s="2">
        <f t="shared" si="22"/>
        <v>0.5254626168</v>
      </c>
      <c r="N20" s="2">
        <f t="shared" si="22"/>
        <v>0.5285057786</v>
      </c>
      <c r="O20" s="2">
        <f t="shared" si="22"/>
        <v>0.5221627565</v>
      </c>
      <c r="P20" s="2">
        <f t="shared" si="22"/>
        <v>0.5176823547</v>
      </c>
      <c r="Q20" s="2">
        <f t="shared" si="22"/>
        <v>0.4755267252</v>
      </c>
      <c r="R20" s="2">
        <f t="shared" si="22"/>
        <v>0.5028307157</v>
      </c>
      <c r="S20" s="2">
        <f t="shared" si="22"/>
        <v>0.5074950383</v>
      </c>
      <c r="T20" s="2">
        <f t="shared" si="22"/>
        <v>0.5002797051</v>
      </c>
      <c r="U20" s="2">
        <f t="shared" si="22"/>
        <v>0.4709658432</v>
      </c>
      <c r="V20" s="2">
        <f t="shared" si="22"/>
        <v>0.5178774737</v>
      </c>
      <c r="W20" s="2">
        <f t="shared" si="22"/>
        <v>0.5015511929</v>
      </c>
      <c r="X20" s="2">
        <f t="shared" si="22"/>
        <v>0.4868375615</v>
      </c>
      <c r="Y20" s="2">
        <f t="shared" si="22"/>
        <v>0.4782751214</v>
      </c>
      <c r="Z20" s="2">
        <f t="shared" si="22"/>
        <v>0.4955046578</v>
      </c>
      <c r="AA20" s="2">
        <f t="shared" si="22"/>
        <v>0.5080765117</v>
      </c>
      <c r="AB20" s="2">
        <f t="shared" si="22"/>
        <v>0.4986875941</v>
      </c>
      <c r="AC20" s="32">
        <f t="shared" si="22"/>
        <v>0.4861111111</v>
      </c>
      <c r="AD20" s="32">
        <f t="shared" si="22"/>
        <v>0.4790199944</v>
      </c>
      <c r="AE20" s="32">
        <f t="shared" si="22"/>
        <v>0.4927155692</v>
      </c>
      <c r="AF20" s="32">
        <f t="shared" si="22"/>
        <v>0.4861111111</v>
      </c>
      <c r="AG20" s="32">
        <f t="shared" si="22"/>
        <v>0.4861111111</v>
      </c>
      <c r="AH20" s="32">
        <f t="shared" si="22"/>
        <v>0.4861111111</v>
      </c>
      <c r="AI20" s="32">
        <f t="shared" si="22"/>
        <v>0.4861111111</v>
      </c>
      <c r="AJ20" s="32">
        <f t="shared" si="22"/>
        <v>0.4861111111</v>
      </c>
      <c r="AK20" s="32">
        <f t="shared" si="22"/>
        <v>0.4788732394</v>
      </c>
      <c r="AL20" s="32">
        <f t="shared" si="22"/>
        <v>0.4788732394</v>
      </c>
      <c r="AM20" s="32">
        <f t="shared" si="22"/>
        <v>0.4788732394</v>
      </c>
      <c r="AN20" s="32">
        <f t="shared" si="22"/>
        <v>0.4788732394</v>
      </c>
      <c r="AO20" s="32">
        <f t="shared" si="22"/>
        <v>0.4788732394</v>
      </c>
      <c r="AP20" s="32">
        <f t="shared" si="22"/>
        <v>0.4714285714</v>
      </c>
      <c r="AQ20" s="32">
        <f t="shared" si="22"/>
        <v>0.4714285714</v>
      </c>
      <c r="AR20" s="32">
        <f t="shared" si="22"/>
        <v>0.4714285714</v>
      </c>
      <c r="AS20" s="32">
        <f t="shared" si="22"/>
        <v>0.4714285714</v>
      </c>
      <c r="AT20" s="32">
        <f t="shared" si="22"/>
        <v>0.4714285714</v>
      </c>
      <c r="AU20" s="32">
        <f t="shared" si="22"/>
        <v>0.4637681159</v>
      </c>
      <c r="AV20" s="32">
        <f t="shared" si="22"/>
        <v>0.4637681159</v>
      </c>
      <c r="AW20" s="32">
        <f t="shared" si="22"/>
        <v>0.4637681159</v>
      </c>
      <c r="AX20" s="32">
        <f t="shared" si="22"/>
        <v>0.4637681159</v>
      </c>
      <c r="AY20" s="32">
        <f t="shared" si="22"/>
        <v>0.4637681159</v>
      </c>
      <c r="AZ20" s="2"/>
      <c r="BA20" s="2"/>
      <c r="BB20" s="2"/>
      <c r="BC20" s="2"/>
      <c r="BD20" s="2"/>
      <c r="BE20" s="2"/>
      <c r="BF20" s="2"/>
      <c r="BG20" s="2"/>
      <c r="BH20" s="2"/>
      <c r="BI20" s="2"/>
      <c r="BJ20" s="2"/>
      <c r="BK20" s="2"/>
      <c r="BL20" s="2"/>
      <c r="BM20" s="2"/>
      <c r="BN20" s="2"/>
      <c r="BO20" s="2"/>
      <c r="BP20" s="2"/>
      <c r="BQ20" s="2"/>
      <c r="BR20" s="2"/>
      <c r="BS20" s="2"/>
    </row>
    <row r="21" ht="15.75" customHeight="1">
      <c r="A21" s="25" t="s">
        <v>149</v>
      </c>
      <c r="B21" s="22">
        <v>17615.0</v>
      </c>
      <c r="C21" s="22">
        <v>18963.0</v>
      </c>
      <c r="D21" s="22">
        <v>25968.0</v>
      </c>
      <c r="E21" s="22">
        <v>22005.0</v>
      </c>
      <c r="F21" s="22">
        <v>23875.0</v>
      </c>
      <c r="G21" s="22">
        <v>31630.0</v>
      </c>
      <c r="H21" s="22">
        <v>35992.0</v>
      </c>
      <c r="I21" s="22">
        <v>38691.0</v>
      </c>
      <c r="J21" s="22">
        <v>40578.0</v>
      </c>
      <c r="K21" s="22">
        <v>50483.0</v>
      </c>
      <c r="L21" s="22">
        <v>57539.0</v>
      </c>
      <c r="M21" s="22">
        <v>66070.0</v>
      </c>
      <c r="N21" s="22">
        <v>78180.0</v>
      </c>
      <c r="O21" s="22">
        <v>90455.0</v>
      </c>
      <c r="P21" s="22">
        <v>97630.0</v>
      </c>
      <c r="Q21" s="22">
        <v>105018.0</v>
      </c>
      <c r="R21" s="22">
        <v>123399.0</v>
      </c>
      <c r="S21" s="22">
        <v>137864.0</v>
      </c>
      <c r="T21" s="22">
        <v>155256.0</v>
      </c>
      <c r="U21" s="22">
        <v>191845.0</v>
      </c>
      <c r="V21" s="22">
        <v>179065.0</v>
      </c>
      <c r="W21" s="22">
        <v>179362.0</v>
      </c>
      <c r="X21" s="22">
        <v>196072.0</v>
      </c>
      <c r="Y21" s="22">
        <v>213998.0</v>
      </c>
      <c r="Z21" s="22">
        <f>sum(V21:Y21)</f>
        <v>768497</v>
      </c>
      <c r="AA21" s="22">
        <v>235249.0</v>
      </c>
      <c r="AB21" s="22">
        <v>250908.0</v>
      </c>
      <c r="AC21" s="25">
        <f t="shared" ref="AC21:AD21" si="23">C62*AC$6</f>
        <v>250263.3076</v>
      </c>
      <c r="AD21" s="25">
        <f t="shared" si="23"/>
        <v>259132.1987</v>
      </c>
      <c r="AE21" s="25">
        <f>sum(AA21:AD21)</f>
        <v>995552.5063</v>
      </c>
      <c r="AF21" s="25">
        <f t="shared" ref="AF21:AI21" si="24">E62*AF$6</f>
        <v>281536.9572</v>
      </c>
      <c r="AG21" s="25">
        <f t="shared" si="24"/>
        <v>305004.5418</v>
      </c>
      <c r="AH21" s="25">
        <f t="shared" si="24"/>
        <v>330241.2267</v>
      </c>
      <c r="AI21" s="25">
        <f t="shared" si="24"/>
        <v>357519.3059</v>
      </c>
      <c r="AJ21" s="25">
        <f>sum(AF21:AI21)</f>
        <v>1274302.032</v>
      </c>
      <c r="AK21" s="25">
        <f t="shared" ref="AK21:AN21" si="25">I62*AK$6</f>
        <v>380415.3333</v>
      </c>
      <c r="AL21" s="25">
        <f t="shared" si="25"/>
        <v>404207.267</v>
      </c>
      <c r="AM21" s="25">
        <f t="shared" si="25"/>
        <v>428925.0302</v>
      </c>
      <c r="AN21" s="25">
        <f t="shared" si="25"/>
        <v>454598.9983</v>
      </c>
      <c r="AO21" s="25">
        <f>sum(AK21:AN21)</f>
        <v>1668146.629</v>
      </c>
      <c r="AP21" s="25">
        <f t="shared" ref="AP21:AS21" si="26">M62*AP$6</f>
        <v>481260.4559</v>
      </c>
      <c r="AQ21" s="25">
        <f t="shared" si="26"/>
        <v>508941.6223</v>
      </c>
      <c r="AR21" s="25">
        <f t="shared" si="26"/>
        <v>537675.6781</v>
      </c>
      <c r="AS21" s="25">
        <f t="shared" si="26"/>
        <v>567496.7924</v>
      </c>
      <c r="AT21" s="25">
        <f>sum(AP21:AS21)</f>
        <v>2095374.549</v>
      </c>
      <c r="AU21" s="25">
        <f t="shared" ref="AU21:AX21" si="27">Q62*AU$6</f>
        <v>595709.7841</v>
      </c>
      <c r="AV21" s="25">
        <f t="shared" si="27"/>
        <v>624793.145</v>
      </c>
      <c r="AW21" s="25">
        <f t="shared" si="27"/>
        <v>654769.3936</v>
      </c>
      <c r="AX21" s="25">
        <f t="shared" si="27"/>
        <v>685661.5793</v>
      </c>
      <c r="AY21" s="25">
        <f>sum(AU21:AX21)</f>
        <v>2560933.902</v>
      </c>
      <c r="AZ21" s="22"/>
      <c r="BA21" s="22"/>
      <c r="BB21" s="22"/>
      <c r="BC21" s="22"/>
      <c r="BD21" s="22"/>
      <c r="BE21" s="22"/>
      <c r="BF21" s="22"/>
      <c r="BG21" s="22"/>
      <c r="BH21" s="22"/>
      <c r="BI21" s="22"/>
      <c r="BJ21" s="22"/>
      <c r="BK21" s="22"/>
      <c r="BL21" s="22"/>
      <c r="BM21" s="22"/>
      <c r="BN21" s="22"/>
      <c r="BO21" s="22"/>
      <c r="BP21" s="22"/>
      <c r="BQ21" s="22"/>
      <c r="BR21" s="22"/>
      <c r="BS21" s="22"/>
    </row>
    <row r="22" ht="15.75" customHeight="1">
      <c r="A22" s="2" t="s">
        <v>147</v>
      </c>
      <c r="B22" s="2">
        <f t="shared" ref="B22:AY22" si="28">B21/B$6</f>
        <v>0.3724967751</v>
      </c>
      <c r="C22" s="2">
        <f t="shared" si="28"/>
        <v>0.340442721</v>
      </c>
      <c r="D22" s="2">
        <f t="shared" si="28"/>
        <v>0.3912080628</v>
      </c>
      <c r="E22" s="2">
        <f t="shared" si="28"/>
        <v>0.2735069293</v>
      </c>
      <c r="F22" s="2">
        <f t="shared" si="28"/>
        <v>0.2484986001</v>
      </c>
      <c r="G22" s="2">
        <f t="shared" si="28"/>
        <v>0.2925777926</v>
      </c>
      <c r="H22" s="2">
        <f t="shared" si="28"/>
        <v>0.2876621456</v>
      </c>
      <c r="I22" s="2">
        <f t="shared" si="28"/>
        <v>0.2543636471</v>
      </c>
      <c r="J22" s="2">
        <f t="shared" si="28"/>
        <v>0.2278664405</v>
      </c>
      <c r="K22" s="2">
        <f t="shared" si="28"/>
        <v>0.2537203914</v>
      </c>
      <c r="L22" s="2">
        <f t="shared" si="28"/>
        <v>0.2475221543</v>
      </c>
      <c r="M22" s="2">
        <f t="shared" si="28"/>
        <v>0.2493875718</v>
      </c>
      <c r="N22" s="2">
        <f t="shared" si="28"/>
        <v>0.2581535647</v>
      </c>
      <c r="O22" s="2">
        <f t="shared" si="28"/>
        <v>0.2678640173</v>
      </c>
      <c r="P22" s="2">
        <f t="shared" si="28"/>
        <v>0.2568865757</v>
      </c>
      <c r="Q22" s="2">
        <f t="shared" si="28"/>
        <v>0.2436555996</v>
      </c>
      <c r="R22" s="2">
        <f t="shared" si="28"/>
        <v>0.2529528487</v>
      </c>
      <c r="S22" s="2">
        <f t="shared" si="28"/>
        <v>0.2576160463</v>
      </c>
      <c r="T22" s="2">
        <f t="shared" si="28"/>
        <v>0.2672763143</v>
      </c>
      <c r="U22" s="2">
        <f t="shared" si="28"/>
        <v>0.3009961294</v>
      </c>
      <c r="V22" s="2">
        <f t="shared" si="28"/>
        <v>0.258547749</v>
      </c>
      <c r="W22" s="2">
        <f t="shared" si="28"/>
        <v>0.2451553116</v>
      </c>
      <c r="X22" s="2">
        <f t="shared" si="28"/>
        <v>0.2494510276</v>
      </c>
      <c r="Y22" s="2">
        <f t="shared" si="28"/>
        <v>0.2531517091</v>
      </c>
      <c r="Z22" s="2">
        <f t="shared" si="28"/>
        <v>0.2515081548</v>
      </c>
      <c r="AA22" s="2">
        <f t="shared" si="28"/>
        <v>0.2554178121</v>
      </c>
      <c r="AB22" s="2">
        <f t="shared" si="28"/>
        <v>0.2603125726</v>
      </c>
      <c r="AC22" s="32">
        <f t="shared" si="28"/>
        <v>0.25</v>
      </c>
      <c r="AD22" s="32">
        <f t="shared" si="28"/>
        <v>0.25</v>
      </c>
      <c r="AE22" s="32">
        <f t="shared" si="28"/>
        <v>0.2538062557</v>
      </c>
      <c r="AF22" s="32">
        <f t="shared" si="28"/>
        <v>0.25</v>
      </c>
      <c r="AG22" s="32">
        <f t="shared" si="28"/>
        <v>0.25</v>
      </c>
      <c r="AH22" s="32">
        <f t="shared" si="28"/>
        <v>0.25</v>
      </c>
      <c r="AI22" s="32">
        <f t="shared" si="28"/>
        <v>0.25</v>
      </c>
      <c r="AJ22" s="32">
        <f t="shared" si="28"/>
        <v>0.25</v>
      </c>
      <c r="AK22" s="32">
        <f t="shared" si="28"/>
        <v>0.25</v>
      </c>
      <c r="AL22" s="32">
        <f t="shared" si="28"/>
        <v>0.25</v>
      </c>
      <c r="AM22" s="32">
        <f t="shared" si="28"/>
        <v>0.25</v>
      </c>
      <c r="AN22" s="32">
        <f t="shared" si="28"/>
        <v>0.25</v>
      </c>
      <c r="AO22" s="32">
        <f t="shared" si="28"/>
        <v>0.25</v>
      </c>
      <c r="AP22" s="32">
        <f t="shared" si="28"/>
        <v>0.25</v>
      </c>
      <c r="AQ22" s="32">
        <f t="shared" si="28"/>
        <v>0.25</v>
      </c>
      <c r="AR22" s="32">
        <f t="shared" si="28"/>
        <v>0.25</v>
      </c>
      <c r="AS22" s="32">
        <f t="shared" si="28"/>
        <v>0.25</v>
      </c>
      <c r="AT22" s="32">
        <f t="shared" si="28"/>
        <v>0.25</v>
      </c>
      <c r="AU22" s="32">
        <f t="shared" si="28"/>
        <v>0.25</v>
      </c>
      <c r="AV22" s="32">
        <f t="shared" si="28"/>
        <v>0.25</v>
      </c>
      <c r="AW22" s="32">
        <f t="shared" si="28"/>
        <v>0.25</v>
      </c>
      <c r="AX22" s="32">
        <f t="shared" si="28"/>
        <v>0.25</v>
      </c>
      <c r="AY22" s="32">
        <f t="shared" si="28"/>
        <v>0.25</v>
      </c>
      <c r="AZ22" s="2"/>
      <c r="BA22" s="2"/>
      <c r="BB22" s="2"/>
      <c r="BC22" s="2"/>
      <c r="BD22" s="2"/>
      <c r="BE22" s="2"/>
      <c r="BF22" s="2"/>
      <c r="BG22" s="2"/>
      <c r="BH22" s="2"/>
      <c r="BI22" s="2"/>
      <c r="BJ22" s="2"/>
      <c r="BK22" s="2"/>
      <c r="BL22" s="2"/>
      <c r="BM22" s="2"/>
      <c r="BN22" s="2"/>
      <c r="BO22" s="2"/>
      <c r="BP22" s="2"/>
      <c r="BQ22" s="2"/>
      <c r="BR22" s="2"/>
      <c r="BS22" s="2"/>
    </row>
    <row r="23" ht="15.75" customHeight="1">
      <c r="A23" s="2" t="s">
        <v>148</v>
      </c>
      <c r="B23" s="2">
        <f t="shared" ref="B23:AY23" si="29">B21/B$27</f>
        <v>0.2887278926</v>
      </c>
      <c r="C23" s="2">
        <f t="shared" si="29"/>
        <v>0.2807129217</v>
      </c>
      <c r="D23" s="2">
        <f t="shared" si="29"/>
        <v>0.3012668801</v>
      </c>
      <c r="E23" s="2">
        <f t="shared" si="29"/>
        <v>0.2598238322</v>
      </c>
      <c r="F23" s="2">
        <f t="shared" si="29"/>
        <v>0.2578878579</v>
      </c>
      <c r="G23" s="2">
        <f t="shared" si="29"/>
        <v>0.2487319624</v>
      </c>
      <c r="H23" s="2">
        <f t="shared" si="29"/>
        <v>0.2850129076</v>
      </c>
      <c r="I23" s="2">
        <f t="shared" si="29"/>
        <v>0.2767101734</v>
      </c>
      <c r="J23" s="2">
        <f t="shared" si="29"/>
        <v>0.263906503</v>
      </c>
      <c r="K23" s="2">
        <f t="shared" si="29"/>
        <v>0.2891831977</v>
      </c>
      <c r="L23" s="2">
        <f t="shared" si="29"/>
        <v>0.2949326472</v>
      </c>
      <c r="M23" s="2">
        <f t="shared" si="29"/>
        <v>0.3087383178</v>
      </c>
      <c r="N23" s="2">
        <f t="shared" si="29"/>
        <v>0.3057668616</v>
      </c>
      <c r="O23" s="2">
        <f t="shared" si="29"/>
        <v>0.3069798854</v>
      </c>
      <c r="P23" s="2">
        <f t="shared" si="29"/>
        <v>0.3063853558</v>
      </c>
      <c r="Q23" s="2">
        <f t="shared" si="29"/>
        <v>0.3071384284</v>
      </c>
      <c r="R23" s="2">
        <f t="shared" si="29"/>
        <v>0.3206126505</v>
      </c>
      <c r="S23" s="2">
        <f t="shared" si="29"/>
        <v>0.3112806028</v>
      </c>
      <c r="T23" s="2">
        <f t="shared" si="29"/>
        <v>0.3240738421</v>
      </c>
      <c r="U23" s="2">
        <f t="shared" si="29"/>
        <v>0.366632076</v>
      </c>
      <c r="V23" s="2">
        <f t="shared" si="29"/>
        <v>0.3298876578</v>
      </c>
      <c r="W23" s="2">
        <f t="shared" si="29"/>
        <v>0.3179715006</v>
      </c>
      <c r="X23" s="2">
        <f t="shared" si="29"/>
        <v>0.3335425715</v>
      </c>
      <c r="Y23" s="2">
        <f t="shared" si="29"/>
        <v>0.3524968209</v>
      </c>
      <c r="Z23" s="2">
        <f t="shared" si="29"/>
        <v>0.3338639264</v>
      </c>
      <c r="AA23" s="2">
        <f t="shared" si="29"/>
        <v>0.3413873519</v>
      </c>
      <c r="AB23" s="2">
        <f t="shared" si="29"/>
        <v>0.3519969473</v>
      </c>
      <c r="AC23" s="32">
        <f t="shared" si="29"/>
        <v>0.3472222222</v>
      </c>
      <c r="AD23" s="32">
        <f t="shared" si="29"/>
        <v>0.3520135173</v>
      </c>
      <c r="AE23" s="32">
        <f t="shared" si="29"/>
        <v>0.348240048</v>
      </c>
      <c r="AF23" s="32">
        <f t="shared" si="29"/>
        <v>0.3472222222</v>
      </c>
      <c r="AG23" s="32">
        <f t="shared" si="29"/>
        <v>0.3472222222</v>
      </c>
      <c r="AH23" s="32">
        <f t="shared" si="29"/>
        <v>0.3472222222</v>
      </c>
      <c r="AI23" s="32">
        <f t="shared" si="29"/>
        <v>0.3472222222</v>
      </c>
      <c r="AJ23" s="32">
        <f t="shared" si="29"/>
        <v>0.3472222222</v>
      </c>
      <c r="AK23" s="32">
        <f t="shared" si="29"/>
        <v>0.3521126761</v>
      </c>
      <c r="AL23" s="32">
        <f t="shared" si="29"/>
        <v>0.3521126761</v>
      </c>
      <c r="AM23" s="32">
        <f t="shared" si="29"/>
        <v>0.3521126761</v>
      </c>
      <c r="AN23" s="32">
        <f t="shared" si="29"/>
        <v>0.3521126761</v>
      </c>
      <c r="AO23" s="32">
        <f t="shared" si="29"/>
        <v>0.3521126761</v>
      </c>
      <c r="AP23" s="32">
        <f t="shared" si="29"/>
        <v>0.3571428571</v>
      </c>
      <c r="AQ23" s="32">
        <f t="shared" si="29"/>
        <v>0.3571428571</v>
      </c>
      <c r="AR23" s="32">
        <f t="shared" si="29"/>
        <v>0.3571428571</v>
      </c>
      <c r="AS23" s="32">
        <f t="shared" si="29"/>
        <v>0.3571428571</v>
      </c>
      <c r="AT23" s="32">
        <f t="shared" si="29"/>
        <v>0.3571428571</v>
      </c>
      <c r="AU23" s="32">
        <f t="shared" si="29"/>
        <v>0.3623188406</v>
      </c>
      <c r="AV23" s="32">
        <f t="shared" si="29"/>
        <v>0.3623188406</v>
      </c>
      <c r="AW23" s="32">
        <f t="shared" si="29"/>
        <v>0.3623188406</v>
      </c>
      <c r="AX23" s="32">
        <f t="shared" si="29"/>
        <v>0.3623188406</v>
      </c>
      <c r="AY23" s="32">
        <f t="shared" si="29"/>
        <v>0.3623188406</v>
      </c>
      <c r="AZ23" s="2"/>
      <c r="BA23" s="2"/>
      <c r="BB23" s="2"/>
      <c r="BC23" s="2"/>
      <c r="BD23" s="2"/>
      <c r="BE23" s="2"/>
      <c r="BF23" s="2"/>
      <c r="BG23" s="2"/>
      <c r="BH23" s="2"/>
      <c r="BI23" s="2"/>
      <c r="BJ23" s="2"/>
      <c r="BK23" s="2"/>
      <c r="BL23" s="2"/>
      <c r="BM23" s="2"/>
      <c r="BN23" s="2"/>
      <c r="BO23" s="2"/>
      <c r="BP23" s="2"/>
      <c r="BQ23" s="2"/>
      <c r="BR23" s="2"/>
      <c r="BS23" s="2"/>
    </row>
    <row r="24" ht="15.75" customHeight="1">
      <c r="A24" s="25" t="s">
        <v>150</v>
      </c>
      <c r="B24" s="22">
        <v>6777.0</v>
      </c>
      <c r="C24" s="22">
        <v>8477.0</v>
      </c>
      <c r="D24" s="22">
        <v>13614.0</v>
      </c>
      <c r="E24" s="22">
        <v>13349.0</v>
      </c>
      <c r="F24" s="22">
        <v>11861.0</v>
      </c>
      <c r="G24" s="22">
        <v>30261.0</v>
      </c>
      <c r="H24" s="22">
        <v>21615.0</v>
      </c>
      <c r="I24" s="22">
        <v>25331.0</v>
      </c>
      <c r="J24" s="22">
        <v>25043.0</v>
      </c>
      <c r="K24" s="22">
        <v>28961.0</v>
      </c>
      <c r="L24" s="22">
        <v>31951.0</v>
      </c>
      <c r="M24" s="22">
        <v>35481.0</v>
      </c>
      <c r="N24" s="22">
        <v>42374.0</v>
      </c>
      <c r="O24" s="22">
        <v>50345.0</v>
      </c>
      <c r="P24" s="22">
        <v>56061.0</v>
      </c>
      <c r="Q24" s="22">
        <v>74312.0</v>
      </c>
      <c r="R24" s="22">
        <v>67954.0</v>
      </c>
      <c r="S24" s="22">
        <v>80263.0</v>
      </c>
      <c r="T24" s="22">
        <v>84148.0</v>
      </c>
      <c r="U24" s="22">
        <v>84979.0</v>
      </c>
      <c r="V24" s="22">
        <v>82634.0</v>
      </c>
      <c r="W24" s="22">
        <v>101804.0</v>
      </c>
      <c r="X24" s="22">
        <v>105589.0</v>
      </c>
      <c r="Y24" s="22">
        <v>102737.0</v>
      </c>
      <c r="Z24" s="22">
        <f>sum(V24:Y24)</f>
        <v>392764</v>
      </c>
      <c r="AA24" s="22">
        <v>103734.0</v>
      </c>
      <c r="AB24" s="22">
        <v>106434.0</v>
      </c>
      <c r="AC24" s="25">
        <f t="shared" ref="AC24:AD24" si="30">C70*AC$6</f>
        <v>120126.3877</v>
      </c>
      <c r="AD24" s="25">
        <f t="shared" si="30"/>
        <v>124383.4554</v>
      </c>
      <c r="AE24" s="25">
        <f>sum(AA24:AD24)</f>
        <v>454677.843</v>
      </c>
      <c r="AF24" s="25">
        <f t="shared" ref="AF24:AI24" si="31">E70*AF$6</f>
        <v>135137.7394</v>
      </c>
      <c r="AG24" s="25">
        <f t="shared" si="31"/>
        <v>146402.1801</v>
      </c>
      <c r="AH24" s="25">
        <f t="shared" si="31"/>
        <v>158515.7888</v>
      </c>
      <c r="AI24" s="25">
        <f t="shared" si="31"/>
        <v>171609.2669</v>
      </c>
      <c r="AJ24" s="25">
        <f>sum(AF24:AI24)</f>
        <v>611664.9752</v>
      </c>
      <c r="AK24" s="25">
        <f t="shared" ref="AK24:AN24" si="32">I70*AK$6</f>
        <v>182599.36</v>
      </c>
      <c r="AL24" s="25">
        <f t="shared" si="32"/>
        <v>194019.4882</v>
      </c>
      <c r="AM24" s="25">
        <f t="shared" si="32"/>
        <v>205884.0145</v>
      </c>
      <c r="AN24" s="25">
        <f t="shared" si="32"/>
        <v>218207.5192</v>
      </c>
      <c r="AO24" s="25">
        <f>sum(AK24:AN24)</f>
        <v>800710.3818</v>
      </c>
      <c r="AP24" s="25">
        <f t="shared" ref="AP24:AS24" si="33">M70*AP$6</f>
        <v>231005.0188</v>
      </c>
      <c r="AQ24" s="25">
        <f t="shared" si="33"/>
        <v>244291.9787</v>
      </c>
      <c r="AR24" s="25">
        <f t="shared" si="33"/>
        <v>258084.3255</v>
      </c>
      <c r="AS24" s="25">
        <f t="shared" si="33"/>
        <v>272398.4603</v>
      </c>
      <c r="AT24" s="25">
        <f>sum(AP24:AS24)</f>
        <v>1005779.783</v>
      </c>
      <c r="AU24" s="25">
        <f t="shared" ref="AU24:AX24" si="34">Q70*AU$6</f>
        <v>285940.6964</v>
      </c>
      <c r="AV24" s="25">
        <f t="shared" si="34"/>
        <v>299900.7096</v>
      </c>
      <c r="AW24" s="25">
        <f t="shared" si="34"/>
        <v>314289.3089</v>
      </c>
      <c r="AX24" s="25">
        <f t="shared" si="34"/>
        <v>329117.5581</v>
      </c>
      <c r="AY24" s="25">
        <f>sum(AU24:AX24)</f>
        <v>1229248.273</v>
      </c>
      <c r="AZ24" s="22"/>
      <c r="BA24" s="22"/>
      <c r="BB24" s="22"/>
      <c r="BC24" s="22"/>
      <c r="BD24" s="22"/>
      <c r="BE24" s="22"/>
      <c r="BF24" s="22"/>
      <c r="BG24" s="22"/>
      <c r="BH24" s="22"/>
      <c r="BI24" s="22"/>
      <c r="BJ24" s="22"/>
      <c r="BK24" s="22"/>
      <c r="BL24" s="22"/>
      <c r="BM24" s="22"/>
      <c r="BN24" s="22"/>
      <c r="BO24" s="22"/>
      <c r="BP24" s="22"/>
      <c r="BQ24" s="22"/>
      <c r="BR24" s="22"/>
      <c r="BS24" s="22"/>
    </row>
    <row r="25" ht="15.75" customHeight="1">
      <c r="A25" s="2" t="s">
        <v>147</v>
      </c>
      <c r="B25" s="2">
        <f t="shared" ref="B25:AY25" si="35">B24/B$6</f>
        <v>0.1433102836</v>
      </c>
      <c r="C25" s="2">
        <f t="shared" si="35"/>
        <v>0.1521875729</v>
      </c>
      <c r="D25" s="2">
        <f t="shared" si="35"/>
        <v>0.2050949849</v>
      </c>
      <c r="E25" s="2">
        <f t="shared" si="35"/>
        <v>0.1659188366</v>
      </c>
      <c r="F25" s="2">
        <f t="shared" si="35"/>
        <v>0.1234530637</v>
      </c>
      <c r="G25" s="2">
        <f t="shared" si="35"/>
        <v>0.2799145299</v>
      </c>
      <c r="H25" s="2">
        <f t="shared" si="35"/>
        <v>0.1727555367</v>
      </c>
      <c r="I25" s="2">
        <f t="shared" si="35"/>
        <v>0.1665318949</v>
      </c>
      <c r="J25" s="2">
        <f t="shared" si="35"/>
        <v>0.1406293871</v>
      </c>
      <c r="K25" s="2">
        <f t="shared" si="35"/>
        <v>0.1455538747</v>
      </c>
      <c r="L25" s="2">
        <f t="shared" si="35"/>
        <v>0.1374473028</v>
      </c>
      <c r="M25" s="2">
        <f t="shared" si="35"/>
        <v>0.1339264482</v>
      </c>
      <c r="N25" s="2">
        <f t="shared" si="35"/>
        <v>0.139920685</v>
      </c>
      <c r="O25" s="2">
        <f t="shared" si="35"/>
        <v>0.1490864402</v>
      </c>
      <c r="P25" s="2">
        <f t="shared" si="35"/>
        <v>0.1475091501</v>
      </c>
      <c r="Q25" s="2">
        <f t="shared" si="35"/>
        <v>0.1724136331</v>
      </c>
      <c r="R25" s="2">
        <f t="shared" si="35"/>
        <v>0.1392973839</v>
      </c>
      <c r="S25" s="2">
        <f t="shared" si="35"/>
        <v>0.1499814072</v>
      </c>
      <c r="T25" s="2">
        <f t="shared" si="35"/>
        <v>0.1448624678</v>
      </c>
      <c r="U25" s="2">
        <f t="shared" si="35"/>
        <v>0.1333282081</v>
      </c>
      <c r="V25" s="2">
        <f t="shared" si="35"/>
        <v>0.1193132923</v>
      </c>
      <c r="W25" s="2">
        <f t="shared" si="35"/>
        <v>0.1391475973</v>
      </c>
      <c r="X25" s="2">
        <f t="shared" si="35"/>
        <v>0.1343347574</v>
      </c>
      <c r="Y25" s="2">
        <f t="shared" si="35"/>
        <v>0.1215340664</v>
      </c>
      <c r="Z25" s="2">
        <f t="shared" si="35"/>
        <v>0.1285409688</v>
      </c>
      <c r="AA25" s="2">
        <f t="shared" si="35"/>
        <v>0.1126275194</v>
      </c>
      <c r="AB25" s="2">
        <f t="shared" si="35"/>
        <v>0.1104233757</v>
      </c>
      <c r="AC25" s="32">
        <f t="shared" si="35"/>
        <v>0.12</v>
      </c>
      <c r="AD25" s="32">
        <f t="shared" si="35"/>
        <v>0.12</v>
      </c>
      <c r="AE25" s="32">
        <f t="shared" si="35"/>
        <v>0.1159156149</v>
      </c>
      <c r="AF25" s="32">
        <f t="shared" si="35"/>
        <v>0.12</v>
      </c>
      <c r="AG25" s="32">
        <f t="shared" si="35"/>
        <v>0.12</v>
      </c>
      <c r="AH25" s="32">
        <f t="shared" si="35"/>
        <v>0.12</v>
      </c>
      <c r="AI25" s="32">
        <f t="shared" si="35"/>
        <v>0.12</v>
      </c>
      <c r="AJ25" s="32">
        <f t="shared" si="35"/>
        <v>0.12</v>
      </c>
      <c r="AK25" s="32">
        <f t="shared" si="35"/>
        <v>0.12</v>
      </c>
      <c r="AL25" s="32">
        <f t="shared" si="35"/>
        <v>0.12</v>
      </c>
      <c r="AM25" s="32">
        <f t="shared" si="35"/>
        <v>0.12</v>
      </c>
      <c r="AN25" s="32">
        <f t="shared" si="35"/>
        <v>0.12</v>
      </c>
      <c r="AO25" s="32">
        <f t="shared" si="35"/>
        <v>0.12</v>
      </c>
      <c r="AP25" s="32">
        <f t="shared" si="35"/>
        <v>0.12</v>
      </c>
      <c r="AQ25" s="32">
        <f t="shared" si="35"/>
        <v>0.12</v>
      </c>
      <c r="AR25" s="32">
        <f t="shared" si="35"/>
        <v>0.12</v>
      </c>
      <c r="AS25" s="32">
        <f t="shared" si="35"/>
        <v>0.12</v>
      </c>
      <c r="AT25" s="32">
        <f t="shared" si="35"/>
        <v>0.12</v>
      </c>
      <c r="AU25" s="32">
        <f t="shared" si="35"/>
        <v>0.12</v>
      </c>
      <c r="AV25" s="32">
        <f t="shared" si="35"/>
        <v>0.12</v>
      </c>
      <c r="AW25" s="32">
        <f t="shared" si="35"/>
        <v>0.12</v>
      </c>
      <c r="AX25" s="32">
        <f t="shared" si="35"/>
        <v>0.12</v>
      </c>
      <c r="AY25" s="32">
        <f t="shared" si="35"/>
        <v>0.12</v>
      </c>
      <c r="AZ25" s="2"/>
      <c r="BA25" s="2"/>
      <c r="BB25" s="2"/>
      <c r="BC25" s="2"/>
      <c r="BD25" s="2"/>
      <c r="BE25" s="2"/>
      <c r="BF25" s="2"/>
      <c r="BG25" s="2"/>
      <c r="BH25" s="2"/>
      <c r="BI25" s="2"/>
      <c r="BJ25" s="2"/>
      <c r="BK25" s="2"/>
      <c r="BL25" s="2"/>
      <c r="BM25" s="2"/>
      <c r="BN25" s="2"/>
      <c r="BO25" s="2"/>
      <c r="BP25" s="2"/>
      <c r="BQ25" s="2"/>
      <c r="BR25" s="2"/>
      <c r="BS25" s="2"/>
    </row>
    <row r="26" ht="15.75" customHeight="1">
      <c r="A26" s="2" t="s">
        <v>148</v>
      </c>
      <c r="B26" s="2">
        <f t="shared" ref="B26:AY26" si="36">B24/B$27</f>
        <v>0.1110819715</v>
      </c>
      <c r="C26" s="2">
        <f t="shared" si="36"/>
        <v>0.1254866549</v>
      </c>
      <c r="D26" s="2">
        <f t="shared" si="36"/>
        <v>0.1579423639</v>
      </c>
      <c r="E26" s="2">
        <f t="shared" si="36"/>
        <v>0.157618193</v>
      </c>
      <c r="F26" s="2">
        <f t="shared" si="36"/>
        <v>0.1281176077</v>
      </c>
      <c r="G26" s="2">
        <f t="shared" si="36"/>
        <v>0.2379664216</v>
      </c>
      <c r="H26" s="2">
        <f t="shared" si="36"/>
        <v>0.1711645365</v>
      </c>
      <c r="I26" s="2">
        <f t="shared" si="36"/>
        <v>0.181162167</v>
      </c>
      <c r="J26" s="2">
        <f t="shared" si="36"/>
        <v>0.1628717669</v>
      </c>
      <c r="K26" s="2">
        <f t="shared" si="36"/>
        <v>0.165898116</v>
      </c>
      <c r="L26" s="2">
        <f t="shared" si="36"/>
        <v>0.1637740143</v>
      </c>
      <c r="M26" s="2">
        <f t="shared" si="36"/>
        <v>0.1657990654</v>
      </c>
      <c r="N26" s="2">
        <f t="shared" si="36"/>
        <v>0.1657273598</v>
      </c>
      <c r="O26" s="2">
        <f t="shared" si="36"/>
        <v>0.1708573581</v>
      </c>
      <c r="P26" s="2">
        <f t="shared" si="36"/>
        <v>0.1759322896</v>
      </c>
      <c r="Q26" s="2">
        <f t="shared" si="36"/>
        <v>0.2173348463</v>
      </c>
      <c r="R26" s="2">
        <f t="shared" si="36"/>
        <v>0.1765566338</v>
      </c>
      <c r="S26" s="2">
        <f t="shared" si="36"/>
        <v>0.1812243589</v>
      </c>
      <c r="T26" s="2">
        <f t="shared" si="36"/>
        <v>0.1756464528</v>
      </c>
      <c r="U26" s="2">
        <f t="shared" si="36"/>
        <v>0.1624020808</v>
      </c>
      <c r="V26" s="2">
        <f t="shared" si="36"/>
        <v>0.1522348684</v>
      </c>
      <c r="W26" s="2">
        <f t="shared" si="36"/>
        <v>0.1804773065</v>
      </c>
      <c r="X26" s="2">
        <f t="shared" si="36"/>
        <v>0.1796198671</v>
      </c>
      <c r="Y26" s="2">
        <f t="shared" si="36"/>
        <v>0.1692280577</v>
      </c>
      <c r="Z26" s="2">
        <f t="shared" si="36"/>
        <v>0.1706314158</v>
      </c>
      <c r="AA26" s="2">
        <f t="shared" si="36"/>
        <v>0.1505361364</v>
      </c>
      <c r="AB26" s="2">
        <f t="shared" si="36"/>
        <v>0.1493154586</v>
      </c>
      <c r="AC26" s="32">
        <f t="shared" si="36"/>
        <v>0.1666666667</v>
      </c>
      <c r="AD26" s="32">
        <f t="shared" si="36"/>
        <v>0.1689664883</v>
      </c>
      <c r="AE26" s="32">
        <f t="shared" si="36"/>
        <v>0.1590443828</v>
      </c>
      <c r="AF26" s="32">
        <f t="shared" si="36"/>
        <v>0.1666666667</v>
      </c>
      <c r="AG26" s="32">
        <f t="shared" si="36"/>
        <v>0.1666666667</v>
      </c>
      <c r="AH26" s="32">
        <f t="shared" si="36"/>
        <v>0.1666666667</v>
      </c>
      <c r="AI26" s="32">
        <f t="shared" si="36"/>
        <v>0.1666666667</v>
      </c>
      <c r="AJ26" s="32">
        <f t="shared" si="36"/>
        <v>0.1666666667</v>
      </c>
      <c r="AK26" s="32">
        <f t="shared" si="36"/>
        <v>0.1690140845</v>
      </c>
      <c r="AL26" s="32">
        <f t="shared" si="36"/>
        <v>0.1690140845</v>
      </c>
      <c r="AM26" s="32">
        <f t="shared" si="36"/>
        <v>0.1690140845</v>
      </c>
      <c r="AN26" s="32">
        <f t="shared" si="36"/>
        <v>0.1690140845</v>
      </c>
      <c r="AO26" s="32">
        <f t="shared" si="36"/>
        <v>0.1690140845</v>
      </c>
      <c r="AP26" s="32">
        <f t="shared" si="36"/>
        <v>0.1714285714</v>
      </c>
      <c r="AQ26" s="32">
        <f t="shared" si="36"/>
        <v>0.1714285714</v>
      </c>
      <c r="AR26" s="32">
        <f t="shared" si="36"/>
        <v>0.1714285714</v>
      </c>
      <c r="AS26" s="32">
        <f t="shared" si="36"/>
        <v>0.1714285714</v>
      </c>
      <c r="AT26" s="32">
        <f t="shared" si="36"/>
        <v>0.1714285714</v>
      </c>
      <c r="AU26" s="32">
        <f t="shared" si="36"/>
        <v>0.1739130435</v>
      </c>
      <c r="AV26" s="32">
        <f t="shared" si="36"/>
        <v>0.1739130435</v>
      </c>
      <c r="AW26" s="32">
        <f t="shared" si="36"/>
        <v>0.1739130435</v>
      </c>
      <c r="AX26" s="32">
        <f t="shared" si="36"/>
        <v>0.1739130435</v>
      </c>
      <c r="AY26" s="32">
        <f t="shared" si="36"/>
        <v>0.1739130435</v>
      </c>
      <c r="AZ26" s="2"/>
      <c r="BA26" s="2"/>
      <c r="BB26" s="2"/>
      <c r="BC26" s="2"/>
      <c r="BD26" s="2"/>
      <c r="BE26" s="2"/>
      <c r="BF26" s="2"/>
      <c r="BG26" s="2"/>
      <c r="BH26" s="2"/>
      <c r="BI26" s="2"/>
      <c r="BJ26" s="2"/>
      <c r="BK26" s="2"/>
      <c r="BL26" s="2"/>
      <c r="BM26" s="2"/>
      <c r="BN26" s="2"/>
      <c r="BO26" s="2"/>
      <c r="BP26" s="2"/>
      <c r="BQ26" s="2"/>
      <c r="BR26" s="2"/>
      <c r="BS26" s="2"/>
    </row>
    <row r="27" ht="15.75" customHeight="1">
      <c r="A27" s="13" t="s">
        <v>151</v>
      </c>
      <c r="B27" s="13">
        <f t="shared" ref="B27:AY27" si="37">B18+B21+B24</f>
        <v>61009</v>
      </c>
      <c r="C27" s="13">
        <f t="shared" si="37"/>
        <v>67553</v>
      </c>
      <c r="D27" s="13">
        <f t="shared" si="37"/>
        <v>86196</v>
      </c>
      <c r="E27" s="13">
        <f t="shared" si="37"/>
        <v>84692</v>
      </c>
      <c r="F27" s="13">
        <f t="shared" si="37"/>
        <v>92579</v>
      </c>
      <c r="G27" s="13">
        <f t="shared" si="37"/>
        <v>127165</v>
      </c>
      <c r="H27" s="13">
        <f t="shared" si="37"/>
        <v>126282</v>
      </c>
      <c r="I27" s="13">
        <f t="shared" si="37"/>
        <v>139825</v>
      </c>
      <c r="J27" s="13">
        <f t="shared" si="37"/>
        <v>153759</v>
      </c>
      <c r="K27" s="13">
        <f t="shared" si="37"/>
        <v>174571</v>
      </c>
      <c r="L27" s="13">
        <f t="shared" si="37"/>
        <v>195092</v>
      </c>
      <c r="M27" s="13">
        <f t="shared" si="37"/>
        <v>214000</v>
      </c>
      <c r="N27" s="13">
        <f t="shared" si="37"/>
        <v>255685</v>
      </c>
      <c r="O27" s="13">
        <f t="shared" si="37"/>
        <v>294661</v>
      </c>
      <c r="P27" s="13">
        <f t="shared" si="37"/>
        <v>318651</v>
      </c>
      <c r="Q27" s="13">
        <f t="shared" si="37"/>
        <v>341924</v>
      </c>
      <c r="R27" s="13">
        <f t="shared" si="37"/>
        <v>384885</v>
      </c>
      <c r="S27" s="13">
        <f t="shared" si="37"/>
        <v>442893</v>
      </c>
      <c r="T27" s="13">
        <f t="shared" si="37"/>
        <v>479076</v>
      </c>
      <c r="U27" s="13">
        <f t="shared" si="37"/>
        <v>523263</v>
      </c>
      <c r="V27" s="13">
        <f t="shared" si="37"/>
        <v>542806</v>
      </c>
      <c r="W27" s="13">
        <f t="shared" si="37"/>
        <v>564082</v>
      </c>
      <c r="X27" s="13">
        <f t="shared" si="37"/>
        <v>587847</v>
      </c>
      <c r="Y27" s="13">
        <f t="shared" si="37"/>
        <v>607092</v>
      </c>
      <c r="Z27" s="13">
        <f t="shared" si="37"/>
        <v>2301827</v>
      </c>
      <c r="AA27" s="13">
        <f t="shared" si="37"/>
        <v>689097</v>
      </c>
      <c r="AB27" s="13">
        <f t="shared" si="37"/>
        <v>712813</v>
      </c>
      <c r="AC27" s="31">
        <f t="shared" si="37"/>
        <v>720758.3259</v>
      </c>
      <c r="AD27" s="31">
        <f t="shared" si="37"/>
        <v>736142.7501</v>
      </c>
      <c r="AE27" s="31">
        <f t="shared" si="37"/>
        <v>2858811.076</v>
      </c>
      <c r="AF27" s="31">
        <f t="shared" si="37"/>
        <v>810826.4366</v>
      </c>
      <c r="AG27" s="31">
        <f t="shared" si="37"/>
        <v>878413.0804</v>
      </c>
      <c r="AH27" s="31">
        <f t="shared" si="37"/>
        <v>951094.733</v>
      </c>
      <c r="AI27" s="31">
        <f t="shared" si="37"/>
        <v>1029655.601</v>
      </c>
      <c r="AJ27" s="31">
        <f t="shared" si="37"/>
        <v>3669989.851</v>
      </c>
      <c r="AK27" s="31">
        <f t="shared" si="37"/>
        <v>1080379.547</v>
      </c>
      <c r="AL27" s="31">
        <f t="shared" si="37"/>
        <v>1147948.638</v>
      </c>
      <c r="AM27" s="31">
        <f t="shared" si="37"/>
        <v>1218147.086</v>
      </c>
      <c r="AN27" s="31">
        <f t="shared" si="37"/>
        <v>1291061.155</v>
      </c>
      <c r="AO27" s="31">
        <f t="shared" si="37"/>
        <v>4737536.426</v>
      </c>
      <c r="AP27" s="31">
        <f t="shared" si="37"/>
        <v>1347529.276</v>
      </c>
      <c r="AQ27" s="31">
        <f t="shared" si="37"/>
        <v>1425036.542</v>
      </c>
      <c r="AR27" s="31">
        <f t="shared" si="37"/>
        <v>1505491.899</v>
      </c>
      <c r="AS27" s="31">
        <f t="shared" si="37"/>
        <v>1588991.019</v>
      </c>
      <c r="AT27" s="31">
        <f t="shared" si="37"/>
        <v>5867048.736</v>
      </c>
      <c r="AU27" s="31">
        <f t="shared" si="37"/>
        <v>1644159.004</v>
      </c>
      <c r="AV27" s="31">
        <f t="shared" si="37"/>
        <v>1724429.08</v>
      </c>
      <c r="AW27" s="31">
        <f t="shared" si="37"/>
        <v>1807163.526</v>
      </c>
      <c r="AX27" s="31">
        <f t="shared" si="37"/>
        <v>1892425.959</v>
      </c>
      <c r="AY27" s="31">
        <f t="shared" si="37"/>
        <v>7068177.57</v>
      </c>
      <c r="AZ27" s="13"/>
      <c r="BA27" s="13"/>
      <c r="BB27" s="13"/>
      <c r="BC27" s="13"/>
      <c r="BD27" s="13"/>
      <c r="BE27" s="13"/>
      <c r="BF27" s="13"/>
      <c r="BG27" s="13"/>
      <c r="BH27" s="13"/>
      <c r="BI27" s="13"/>
      <c r="BJ27" s="13"/>
      <c r="BK27" s="13"/>
      <c r="BL27" s="13"/>
      <c r="BM27" s="13"/>
      <c r="BN27" s="13"/>
      <c r="BO27" s="13"/>
      <c r="BP27" s="13"/>
      <c r="BQ27" s="13"/>
      <c r="BR27" s="13"/>
      <c r="BS27" s="13"/>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25"/>
      <c r="AD28" s="25"/>
      <c r="AE28" s="26"/>
      <c r="AF28" s="25"/>
      <c r="AG28" s="25"/>
      <c r="AH28" s="25"/>
      <c r="AI28" s="25"/>
      <c r="AJ28" s="26"/>
      <c r="AK28" s="25"/>
      <c r="AL28" s="25"/>
      <c r="AM28" s="25"/>
      <c r="AN28" s="25"/>
      <c r="AO28" s="26"/>
      <c r="AP28" s="25"/>
      <c r="AQ28" s="25"/>
      <c r="AR28" s="25"/>
      <c r="AS28" s="25"/>
      <c r="AT28" s="26"/>
      <c r="AU28" s="25"/>
      <c r="AV28" s="25"/>
      <c r="AW28" s="25"/>
      <c r="AX28" s="25"/>
      <c r="AY28" s="26"/>
      <c r="AZ28" s="14"/>
      <c r="BA28" s="14"/>
      <c r="BB28" s="14"/>
      <c r="BC28" s="14"/>
      <c r="BD28" s="14"/>
      <c r="BE28" s="14"/>
      <c r="BF28" s="14"/>
      <c r="BG28" s="14"/>
      <c r="BH28" s="14"/>
      <c r="BI28" s="14"/>
      <c r="BJ28" s="14"/>
      <c r="BK28" s="14"/>
      <c r="BL28" s="14"/>
      <c r="BM28" s="14"/>
      <c r="BN28" s="14"/>
      <c r="BO28" s="14"/>
      <c r="BP28" s="14"/>
      <c r="BQ28" s="14"/>
      <c r="BR28" s="14"/>
      <c r="BS28" s="14"/>
    </row>
    <row r="29" ht="15.75" customHeight="1">
      <c r="A29" s="13" t="s">
        <v>152</v>
      </c>
      <c r="B29" s="13">
        <f t="shared" ref="B29:AY29" si="38">B6-B15-B27</f>
        <v>-33114</v>
      </c>
      <c r="C29" s="13">
        <f t="shared" si="38"/>
        <v>-30427</v>
      </c>
      <c r="D29" s="13">
        <f t="shared" si="38"/>
        <v>-42091</v>
      </c>
      <c r="E29" s="13">
        <f t="shared" si="38"/>
        <v>-31232</v>
      </c>
      <c r="F29" s="13">
        <f t="shared" si="38"/>
        <v>-25775</v>
      </c>
      <c r="G29" s="13">
        <f t="shared" si="38"/>
        <v>-50639</v>
      </c>
      <c r="H29" s="13">
        <f t="shared" si="38"/>
        <v>-38518</v>
      </c>
      <c r="I29" s="13">
        <f t="shared" si="38"/>
        <v>-31133</v>
      </c>
      <c r="J29" s="13">
        <f t="shared" si="38"/>
        <v>-22576</v>
      </c>
      <c r="K29" s="13">
        <f t="shared" si="38"/>
        <v>-29991</v>
      </c>
      <c r="L29" s="13">
        <f t="shared" si="38"/>
        <v>-24159</v>
      </c>
      <c r="M29" s="13">
        <f t="shared" si="38"/>
        <v>-15803</v>
      </c>
      <c r="N29" s="13">
        <f t="shared" si="38"/>
        <v>-31347</v>
      </c>
      <c r="O29" s="13">
        <f t="shared" si="38"/>
        <v>-47403</v>
      </c>
      <c r="P29" s="13">
        <f t="shared" si="38"/>
        <v>-40264</v>
      </c>
      <c r="Q29" s="13">
        <f t="shared" si="38"/>
        <v>-23534</v>
      </c>
      <c r="R29" s="13">
        <f t="shared" si="38"/>
        <v>-23883</v>
      </c>
      <c r="S29" s="13">
        <f t="shared" si="38"/>
        <v>-48307</v>
      </c>
      <c r="T29" s="13">
        <f t="shared" si="38"/>
        <v>-56422</v>
      </c>
      <c r="U29" s="13">
        <f t="shared" si="38"/>
        <v>-61500</v>
      </c>
      <c r="V29" s="13">
        <f t="shared" si="38"/>
        <v>-19456</v>
      </c>
      <c r="W29" s="13">
        <f t="shared" si="38"/>
        <v>-15373</v>
      </c>
      <c r="X29" s="13">
        <f t="shared" si="38"/>
        <v>3163</v>
      </c>
      <c r="Y29" s="13">
        <f t="shared" si="38"/>
        <v>29671</v>
      </c>
      <c r="Z29" s="13">
        <f t="shared" si="38"/>
        <v>-1995</v>
      </c>
      <c r="AA29" s="13">
        <f t="shared" si="38"/>
        <v>6936</v>
      </c>
      <c r="AB29" s="13">
        <f t="shared" si="38"/>
        <v>13658</v>
      </c>
      <c r="AC29" s="31">
        <f t="shared" si="38"/>
        <v>37511.13783</v>
      </c>
      <c r="AD29" s="31">
        <f t="shared" si="38"/>
        <v>49121.0922</v>
      </c>
      <c r="AE29" s="31">
        <f t="shared" si="38"/>
        <v>107226.23</v>
      </c>
      <c r="AF29" s="31">
        <f t="shared" si="38"/>
        <v>37371.66674</v>
      </c>
      <c r="AG29" s="31">
        <f t="shared" si="38"/>
        <v>35454.5863</v>
      </c>
      <c r="AH29" s="31">
        <f t="shared" si="38"/>
        <v>32074.76475</v>
      </c>
      <c r="AI29" s="31">
        <f t="shared" si="38"/>
        <v>26825.72135</v>
      </c>
      <c r="AJ29" s="31">
        <f t="shared" si="38"/>
        <v>131726.7391</v>
      </c>
      <c r="AK29" s="31">
        <f t="shared" si="38"/>
        <v>45768.01389</v>
      </c>
      <c r="AL29" s="31">
        <f t="shared" si="38"/>
        <v>50607.30693</v>
      </c>
      <c r="AM29" s="31">
        <f t="shared" si="38"/>
        <v>55651.1588</v>
      </c>
      <c r="AN29" s="31">
        <f t="shared" si="38"/>
        <v>60906.43438</v>
      </c>
      <c r="AO29" s="31">
        <f t="shared" si="38"/>
        <v>212932.914</v>
      </c>
      <c r="AP29" s="31">
        <f t="shared" si="38"/>
        <v>85630.62218</v>
      </c>
      <c r="AQ29" s="31">
        <f t="shared" si="38"/>
        <v>92437.41371</v>
      </c>
      <c r="AR29" s="31">
        <f t="shared" si="38"/>
        <v>99519.59441</v>
      </c>
      <c r="AS29" s="31">
        <f t="shared" si="38"/>
        <v>106886.2523</v>
      </c>
      <c r="AT29" s="31">
        <f t="shared" si="38"/>
        <v>384473.8826</v>
      </c>
      <c r="AU29" s="31">
        <f t="shared" si="38"/>
        <v>137501.4194</v>
      </c>
      <c r="AV29" s="31">
        <f t="shared" si="38"/>
        <v>145662.8062</v>
      </c>
      <c r="AW29" s="31">
        <f t="shared" si="38"/>
        <v>154076.3739</v>
      </c>
      <c r="AX29" s="31">
        <f t="shared" si="38"/>
        <v>162748.3426</v>
      </c>
      <c r="AY29" s="31">
        <f t="shared" si="38"/>
        <v>599988.9421</v>
      </c>
      <c r="AZ29" s="13"/>
      <c r="BA29" s="13"/>
      <c r="BB29" s="13"/>
      <c r="BC29" s="13"/>
      <c r="BD29" s="13"/>
      <c r="BE29" s="13"/>
      <c r="BF29" s="13"/>
      <c r="BG29" s="13"/>
      <c r="BH29" s="13"/>
      <c r="BI29" s="13"/>
      <c r="BJ29" s="13"/>
      <c r="BK29" s="13"/>
      <c r="BL29" s="13"/>
      <c r="BM29" s="13"/>
      <c r="BN29" s="13"/>
      <c r="BO29" s="13"/>
      <c r="BP29" s="13"/>
      <c r="BQ29" s="13"/>
      <c r="BR29" s="13"/>
      <c r="BS29" s="13"/>
    </row>
    <row r="30" ht="15.75" customHeight="1">
      <c r="AE30" s="15"/>
      <c r="AJ30" s="15"/>
      <c r="AO30" s="15"/>
      <c r="AT30" s="15"/>
      <c r="AY30" s="15"/>
    </row>
    <row r="31" ht="15.75" customHeight="1">
      <c r="A31" s="1" t="s">
        <v>121</v>
      </c>
      <c r="AE31" s="15"/>
      <c r="AJ31" s="15"/>
      <c r="AO31" s="15"/>
      <c r="AT31" s="15"/>
      <c r="AY31" s="15"/>
    </row>
    <row r="32" ht="15.75" customHeight="1">
      <c r="A32" s="1" t="s">
        <v>153</v>
      </c>
      <c r="B32" s="1" t="s">
        <v>123</v>
      </c>
      <c r="C32" s="16" t="s">
        <v>75</v>
      </c>
      <c r="D32" s="16" t="s">
        <v>76</v>
      </c>
      <c r="E32" s="16" t="s">
        <v>78</v>
      </c>
      <c r="F32" s="16" t="s">
        <v>79</v>
      </c>
      <c r="G32" s="18" t="s">
        <v>80</v>
      </c>
      <c r="H32" s="18" t="s">
        <v>81</v>
      </c>
      <c r="I32" s="16" t="s">
        <v>83</v>
      </c>
      <c r="J32" s="18" t="s">
        <v>84</v>
      </c>
      <c r="K32" s="18" t="s">
        <v>85</v>
      </c>
      <c r="L32" s="18" t="s">
        <v>86</v>
      </c>
      <c r="M32" s="18" t="s">
        <v>88</v>
      </c>
      <c r="N32" s="18" t="s">
        <v>89</v>
      </c>
      <c r="O32" s="18" t="s">
        <v>90</v>
      </c>
      <c r="P32" s="18" t="s">
        <v>91</v>
      </c>
      <c r="Q32" s="16" t="s">
        <v>93</v>
      </c>
      <c r="R32" s="16" t="s">
        <v>94</v>
      </c>
      <c r="S32" s="18" t="s">
        <v>95</v>
      </c>
      <c r="T32" s="18" t="s">
        <v>96</v>
      </c>
      <c r="AE32" s="15"/>
      <c r="AJ32" s="15"/>
      <c r="AO32" s="15"/>
      <c r="AT32" s="15"/>
      <c r="AY32" s="15"/>
    </row>
    <row r="33" ht="15.75" customHeight="1">
      <c r="A33" s="61" t="s">
        <v>124</v>
      </c>
      <c r="B33" s="62">
        <v>1.0</v>
      </c>
      <c r="C33" s="63">
        <v>0.22</v>
      </c>
      <c r="D33" s="63">
        <v>0.22</v>
      </c>
      <c r="E33" s="63">
        <v>0.22</v>
      </c>
      <c r="F33" s="63">
        <v>0.22</v>
      </c>
      <c r="G33" s="63">
        <v>0.22</v>
      </c>
      <c r="H33" s="63">
        <v>0.22</v>
      </c>
      <c r="I33" s="63">
        <v>0.22</v>
      </c>
      <c r="J33" s="63">
        <v>0.22</v>
      </c>
      <c r="K33" s="63">
        <v>0.22</v>
      </c>
      <c r="L33" s="63">
        <v>0.22</v>
      </c>
      <c r="M33" s="63">
        <v>0.22</v>
      </c>
      <c r="N33" s="63">
        <v>0.22</v>
      </c>
      <c r="O33" s="63">
        <v>0.22</v>
      </c>
      <c r="P33" s="63">
        <v>0.22</v>
      </c>
      <c r="Q33" s="63">
        <v>0.22</v>
      </c>
      <c r="R33" s="63">
        <v>0.22</v>
      </c>
      <c r="S33" s="63">
        <v>0.22</v>
      </c>
      <c r="T33" s="63">
        <v>0.22</v>
      </c>
      <c r="U33" s="39"/>
      <c r="V33" s="39"/>
      <c r="W33" s="39"/>
      <c r="X33" s="39"/>
      <c r="Y33" s="39"/>
      <c r="Z33" s="39"/>
      <c r="AA33" s="39"/>
      <c r="AB33" s="39"/>
      <c r="AC33" s="39"/>
      <c r="AD33" s="39"/>
      <c r="AE33" s="40"/>
      <c r="AF33" s="39"/>
      <c r="AG33" s="39"/>
      <c r="AH33" s="39"/>
      <c r="AI33" s="39"/>
      <c r="AJ33" s="40"/>
      <c r="AK33" s="39"/>
      <c r="AL33" s="39"/>
      <c r="AM33" s="39"/>
      <c r="AN33" s="39"/>
      <c r="AO33" s="40"/>
      <c r="AP33" s="39"/>
      <c r="AQ33" s="39"/>
      <c r="AR33" s="39"/>
      <c r="AS33" s="39"/>
      <c r="AT33" s="40"/>
      <c r="AU33" s="39"/>
      <c r="AV33" s="39"/>
      <c r="AW33" s="39"/>
      <c r="AX33" s="39"/>
      <c r="AY33" s="40"/>
      <c r="AZ33" s="39"/>
      <c r="BA33" s="39"/>
      <c r="BB33" s="39"/>
      <c r="BC33" s="39"/>
      <c r="BD33" s="39"/>
      <c r="BE33" s="39"/>
      <c r="BF33" s="39"/>
      <c r="BG33" s="39"/>
      <c r="BH33" s="39"/>
      <c r="BI33" s="39"/>
      <c r="BJ33" s="39"/>
      <c r="BK33" s="39"/>
      <c r="BL33" s="39"/>
      <c r="BM33" s="39"/>
      <c r="BN33" s="39"/>
      <c r="BO33" s="39"/>
      <c r="BP33" s="39"/>
      <c r="BQ33" s="39"/>
      <c r="BR33" s="39"/>
      <c r="BS33" s="39"/>
    </row>
    <row r="34" ht="15.75" customHeight="1">
      <c r="A34" s="61" t="s">
        <v>125</v>
      </c>
      <c r="B34" s="62">
        <v>2.0</v>
      </c>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40"/>
      <c r="AF34" s="39"/>
      <c r="AG34" s="39"/>
      <c r="AH34" s="39"/>
      <c r="AI34" s="39"/>
      <c r="AJ34" s="40"/>
      <c r="AK34" s="39"/>
      <c r="AL34" s="39"/>
      <c r="AM34" s="39"/>
      <c r="AN34" s="39"/>
      <c r="AO34" s="40"/>
      <c r="AP34" s="39"/>
      <c r="AQ34" s="39"/>
      <c r="AR34" s="39"/>
      <c r="AS34" s="39"/>
      <c r="AT34" s="40"/>
      <c r="AU34" s="39"/>
      <c r="AV34" s="39"/>
      <c r="AW34" s="39"/>
      <c r="AX34" s="39"/>
      <c r="AY34" s="40"/>
      <c r="AZ34" s="39"/>
      <c r="BA34" s="39"/>
      <c r="BB34" s="39"/>
      <c r="BC34" s="39"/>
      <c r="BD34" s="39"/>
      <c r="BE34" s="39"/>
      <c r="BF34" s="39"/>
      <c r="BG34" s="39"/>
      <c r="BH34" s="39"/>
      <c r="BI34" s="39"/>
      <c r="BJ34" s="39"/>
      <c r="BK34" s="39"/>
      <c r="BL34" s="39"/>
      <c r="BM34" s="39"/>
      <c r="BN34" s="39"/>
      <c r="BO34" s="39"/>
      <c r="BP34" s="39"/>
      <c r="BQ34" s="39"/>
      <c r="BR34" s="39"/>
      <c r="BS34" s="39"/>
    </row>
    <row r="35" ht="15.75" customHeight="1">
      <c r="A35" s="61" t="s">
        <v>126</v>
      </c>
      <c r="B35" s="62">
        <v>3.0</v>
      </c>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40"/>
      <c r="AF35" s="39"/>
      <c r="AG35" s="39"/>
      <c r="AH35" s="39"/>
      <c r="AI35" s="39"/>
      <c r="AJ35" s="40"/>
      <c r="AK35" s="39"/>
      <c r="AL35" s="39"/>
      <c r="AM35" s="39"/>
      <c r="AN35" s="39"/>
      <c r="AO35" s="40"/>
      <c r="AP35" s="39"/>
      <c r="AQ35" s="39"/>
      <c r="AR35" s="39"/>
      <c r="AS35" s="39"/>
      <c r="AT35" s="40"/>
      <c r="AU35" s="39"/>
      <c r="AV35" s="39"/>
      <c r="AW35" s="39"/>
      <c r="AX35" s="39"/>
      <c r="AY35" s="40"/>
      <c r="AZ35" s="39"/>
      <c r="BA35" s="39"/>
      <c r="BB35" s="39"/>
      <c r="BC35" s="39"/>
      <c r="BD35" s="39"/>
      <c r="BE35" s="39"/>
      <c r="BF35" s="39"/>
      <c r="BG35" s="39"/>
      <c r="BH35" s="39"/>
      <c r="BI35" s="39"/>
      <c r="BJ35" s="39"/>
      <c r="BK35" s="39"/>
      <c r="BL35" s="39"/>
      <c r="BM35" s="39"/>
      <c r="BN35" s="39"/>
      <c r="BO35" s="39"/>
      <c r="BP35" s="39"/>
      <c r="BQ35" s="39"/>
      <c r="BR35" s="39"/>
      <c r="BS35" s="39"/>
    </row>
    <row r="36" ht="15.75" customHeight="1">
      <c r="A36" s="61" t="s">
        <v>127</v>
      </c>
      <c r="B36" s="62">
        <v>4.0</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40"/>
      <c r="AF36" s="39"/>
      <c r="AG36" s="39"/>
      <c r="AH36" s="39"/>
      <c r="AI36" s="39"/>
      <c r="AJ36" s="40"/>
      <c r="AK36" s="39"/>
      <c r="AL36" s="39"/>
      <c r="AM36" s="39"/>
      <c r="AN36" s="39"/>
      <c r="AO36" s="40"/>
      <c r="AP36" s="39"/>
      <c r="AQ36" s="39"/>
      <c r="AR36" s="39"/>
      <c r="AS36" s="39"/>
      <c r="AT36" s="40"/>
      <c r="AU36" s="39"/>
      <c r="AV36" s="39"/>
      <c r="AW36" s="39"/>
      <c r="AX36" s="39"/>
      <c r="AY36" s="40"/>
      <c r="AZ36" s="39"/>
      <c r="BA36" s="39"/>
      <c r="BB36" s="39"/>
      <c r="BC36" s="39"/>
      <c r="BD36" s="39"/>
      <c r="BE36" s="39"/>
      <c r="BF36" s="39"/>
      <c r="BG36" s="39"/>
      <c r="BH36" s="39"/>
      <c r="BI36" s="39"/>
      <c r="BJ36" s="39"/>
      <c r="BK36" s="39"/>
      <c r="BL36" s="39"/>
      <c r="BM36" s="39"/>
      <c r="BN36" s="39"/>
      <c r="BO36" s="39"/>
      <c r="BP36" s="39"/>
      <c r="BQ36" s="39"/>
      <c r="BR36" s="39"/>
      <c r="BS36" s="39"/>
    </row>
    <row r="37" ht="15.75" customHeight="1">
      <c r="A37" s="61" t="s">
        <v>128</v>
      </c>
      <c r="B37" s="62">
        <v>5.0</v>
      </c>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40"/>
      <c r="AF37" s="39"/>
      <c r="AG37" s="39"/>
      <c r="AH37" s="39"/>
      <c r="AI37" s="39"/>
      <c r="AJ37" s="40"/>
      <c r="AK37" s="39"/>
      <c r="AL37" s="39"/>
      <c r="AM37" s="39"/>
      <c r="AN37" s="39"/>
      <c r="AO37" s="40"/>
      <c r="AP37" s="39"/>
      <c r="AQ37" s="39"/>
      <c r="AR37" s="39"/>
      <c r="AS37" s="39"/>
      <c r="AT37" s="40"/>
      <c r="AU37" s="39"/>
      <c r="AV37" s="39"/>
      <c r="AW37" s="39"/>
      <c r="AX37" s="39"/>
      <c r="AY37" s="40"/>
      <c r="AZ37" s="39"/>
      <c r="BA37" s="39"/>
      <c r="BB37" s="39"/>
      <c r="BC37" s="39"/>
      <c r="BD37" s="39"/>
      <c r="BE37" s="39"/>
      <c r="BF37" s="39"/>
      <c r="BG37" s="39"/>
      <c r="BH37" s="39"/>
      <c r="BI37" s="39"/>
      <c r="BJ37" s="39"/>
      <c r="BK37" s="39"/>
      <c r="BL37" s="39"/>
      <c r="BM37" s="39"/>
      <c r="BN37" s="39"/>
      <c r="BO37" s="39"/>
      <c r="BP37" s="39"/>
      <c r="BQ37" s="39"/>
      <c r="BR37" s="39"/>
      <c r="BS37" s="39"/>
    </row>
    <row r="38" ht="15.75" customHeight="1">
      <c r="A38" s="1" t="s">
        <v>154</v>
      </c>
      <c r="B38" s="33">
        <f>C8</f>
        <v>1</v>
      </c>
      <c r="C38" s="56">
        <f t="shared" ref="C38:T38" si="39">IFS($C$8=$B33,C33, $C$8=$B34,C34,$C$8=$B35,C35,$C$8=$B36,C36,$C$8=$B37,C37)</f>
        <v>0.22</v>
      </c>
      <c r="D38" s="56">
        <f t="shared" si="39"/>
        <v>0.22</v>
      </c>
      <c r="E38" s="56">
        <f t="shared" si="39"/>
        <v>0.22</v>
      </c>
      <c r="F38" s="56">
        <f t="shared" si="39"/>
        <v>0.22</v>
      </c>
      <c r="G38" s="56">
        <f t="shared" si="39"/>
        <v>0.22</v>
      </c>
      <c r="H38" s="56">
        <f t="shared" si="39"/>
        <v>0.22</v>
      </c>
      <c r="I38" s="56">
        <f t="shared" si="39"/>
        <v>0.22</v>
      </c>
      <c r="J38" s="56">
        <f t="shared" si="39"/>
        <v>0.22</v>
      </c>
      <c r="K38" s="56">
        <f t="shared" si="39"/>
        <v>0.22</v>
      </c>
      <c r="L38" s="56">
        <f t="shared" si="39"/>
        <v>0.22</v>
      </c>
      <c r="M38" s="56">
        <f t="shared" si="39"/>
        <v>0.22</v>
      </c>
      <c r="N38" s="56">
        <f t="shared" si="39"/>
        <v>0.22</v>
      </c>
      <c r="O38" s="56">
        <f t="shared" si="39"/>
        <v>0.22</v>
      </c>
      <c r="P38" s="56">
        <f t="shared" si="39"/>
        <v>0.22</v>
      </c>
      <c r="Q38" s="56">
        <f t="shared" si="39"/>
        <v>0.22</v>
      </c>
      <c r="R38" s="56">
        <f t="shared" si="39"/>
        <v>0.22</v>
      </c>
      <c r="S38" s="56">
        <f t="shared" si="39"/>
        <v>0.22</v>
      </c>
      <c r="T38" s="56">
        <f t="shared" si="39"/>
        <v>0.22</v>
      </c>
      <c r="AE38" s="15"/>
      <c r="AJ38" s="15"/>
      <c r="AO38" s="15"/>
      <c r="AT38" s="15"/>
      <c r="AY38" s="15"/>
    </row>
    <row r="39" ht="15.75" customHeight="1">
      <c r="AE39" s="15"/>
      <c r="AJ39" s="15"/>
      <c r="AO39" s="15"/>
      <c r="AT39" s="15"/>
      <c r="AY39" s="15"/>
    </row>
    <row r="40" ht="15.75" customHeight="1">
      <c r="A40" s="1" t="s">
        <v>155</v>
      </c>
      <c r="B40" s="1" t="s">
        <v>123</v>
      </c>
      <c r="C40" s="16" t="s">
        <v>75</v>
      </c>
      <c r="D40" s="16" t="s">
        <v>76</v>
      </c>
      <c r="E40" s="16" t="s">
        <v>78</v>
      </c>
      <c r="F40" s="16" t="s">
        <v>79</v>
      </c>
      <c r="G40" s="18" t="s">
        <v>80</v>
      </c>
      <c r="H40" s="18" t="s">
        <v>81</v>
      </c>
      <c r="I40" s="16" t="s">
        <v>83</v>
      </c>
      <c r="J40" s="18" t="s">
        <v>84</v>
      </c>
      <c r="K40" s="18" t="s">
        <v>85</v>
      </c>
      <c r="L40" s="18" t="s">
        <v>86</v>
      </c>
      <c r="M40" s="18" t="s">
        <v>88</v>
      </c>
      <c r="N40" s="18" t="s">
        <v>89</v>
      </c>
      <c r="O40" s="18" t="s">
        <v>90</v>
      </c>
      <c r="P40" s="18" t="s">
        <v>91</v>
      </c>
      <c r="Q40" s="16" t="s">
        <v>93</v>
      </c>
      <c r="R40" s="16" t="s">
        <v>94</v>
      </c>
      <c r="S40" s="18" t="s">
        <v>95</v>
      </c>
      <c r="T40" s="18" t="s">
        <v>96</v>
      </c>
      <c r="AE40" s="15"/>
      <c r="AJ40" s="15"/>
      <c r="AO40" s="15"/>
      <c r="AT40" s="15"/>
      <c r="AY40" s="15"/>
    </row>
    <row r="41" ht="15.75" customHeight="1">
      <c r="A41" s="61" t="s">
        <v>124</v>
      </c>
      <c r="B41" s="62">
        <v>1.0</v>
      </c>
      <c r="C41" s="63">
        <v>0.7</v>
      </c>
      <c r="D41" s="63">
        <v>0.7</v>
      </c>
      <c r="E41" s="63">
        <v>0.7</v>
      </c>
      <c r="F41" s="63">
        <v>0.7</v>
      </c>
      <c r="G41" s="63">
        <v>0.7</v>
      </c>
      <c r="H41" s="63">
        <v>0.7</v>
      </c>
      <c r="I41" s="63">
        <v>0.7</v>
      </c>
      <c r="J41" s="63">
        <v>0.7</v>
      </c>
      <c r="K41" s="63">
        <v>0.7</v>
      </c>
      <c r="L41" s="63">
        <v>0.7</v>
      </c>
      <c r="M41" s="63">
        <v>0.7</v>
      </c>
      <c r="N41" s="63">
        <v>0.7</v>
      </c>
      <c r="O41" s="63">
        <v>0.7</v>
      </c>
      <c r="P41" s="63">
        <v>0.7</v>
      </c>
      <c r="Q41" s="63">
        <v>0.7</v>
      </c>
      <c r="R41" s="63">
        <v>0.7</v>
      </c>
      <c r="S41" s="63">
        <v>0.7</v>
      </c>
      <c r="T41" s="63">
        <v>0.7</v>
      </c>
      <c r="AE41" s="15"/>
      <c r="AJ41" s="15"/>
      <c r="AO41" s="15"/>
      <c r="AT41" s="15"/>
      <c r="AY41" s="15"/>
    </row>
    <row r="42" ht="15.75" customHeight="1">
      <c r="A42" s="61" t="s">
        <v>125</v>
      </c>
      <c r="B42" s="62">
        <v>2.0</v>
      </c>
      <c r="C42" s="39"/>
      <c r="D42" s="39"/>
      <c r="E42" s="39"/>
      <c r="F42" s="39"/>
      <c r="G42" s="39"/>
      <c r="H42" s="39"/>
      <c r="I42" s="39"/>
      <c r="J42" s="39"/>
      <c r="K42" s="39"/>
      <c r="L42" s="39"/>
      <c r="M42" s="39"/>
      <c r="N42" s="39"/>
      <c r="O42" s="39"/>
      <c r="P42" s="39"/>
      <c r="Q42" s="39"/>
      <c r="R42" s="39"/>
      <c r="S42" s="39"/>
      <c r="T42" s="39"/>
      <c r="AE42" s="15"/>
      <c r="AJ42" s="15"/>
      <c r="AO42" s="15"/>
      <c r="AT42" s="15"/>
      <c r="AY42" s="15"/>
    </row>
    <row r="43" ht="15.75" customHeight="1">
      <c r="A43" s="61" t="s">
        <v>126</v>
      </c>
      <c r="B43" s="62">
        <v>3.0</v>
      </c>
      <c r="C43" s="39"/>
      <c r="D43" s="39"/>
      <c r="E43" s="39"/>
      <c r="F43" s="39"/>
      <c r="G43" s="39"/>
      <c r="H43" s="39"/>
      <c r="I43" s="39"/>
      <c r="J43" s="39"/>
      <c r="K43" s="39"/>
      <c r="L43" s="39"/>
      <c r="M43" s="39"/>
      <c r="N43" s="39"/>
      <c r="O43" s="39"/>
      <c r="P43" s="39"/>
      <c r="Q43" s="39"/>
      <c r="R43" s="39"/>
      <c r="S43" s="39"/>
      <c r="T43" s="39"/>
      <c r="AE43" s="15"/>
      <c r="AJ43" s="15"/>
      <c r="AO43" s="15"/>
      <c r="AT43" s="15"/>
      <c r="AY43" s="15"/>
    </row>
    <row r="44" ht="15.75" customHeight="1">
      <c r="A44" s="61" t="s">
        <v>127</v>
      </c>
      <c r="B44" s="62">
        <v>4.0</v>
      </c>
      <c r="C44" s="39"/>
      <c r="D44" s="39"/>
      <c r="E44" s="39"/>
      <c r="F44" s="39"/>
      <c r="G44" s="39"/>
      <c r="H44" s="39"/>
      <c r="I44" s="39"/>
      <c r="J44" s="39"/>
      <c r="K44" s="39"/>
      <c r="L44" s="39"/>
      <c r="M44" s="39"/>
      <c r="N44" s="39"/>
      <c r="O44" s="39"/>
      <c r="P44" s="39"/>
      <c r="Q44" s="39"/>
      <c r="R44" s="39"/>
      <c r="S44" s="39"/>
      <c r="T44" s="39"/>
      <c r="AE44" s="15"/>
      <c r="AJ44" s="15"/>
      <c r="AO44" s="15"/>
      <c r="AT44" s="15"/>
      <c r="AY44" s="15"/>
    </row>
    <row r="45" ht="15.75" customHeight="1">
      <c r="A45" s="61" t="s">
        <v>128</v>
      </c>
      <c r="B45" s="62">
        <v>5.0</v>
      </c>
      <c r="C45" s="39"/>
      <c r="D45" s="39"/>
      <c r="E45" s="39"/>
      <c r="F45" s="39"/>
      <c r="G45" s="39"/>
      <c r="H45" s="39"/>
      <c r="I45" s="39"/>
      <c r="J45" s="39"/>
      <c r="K45" s="39"/>
      <c r="L45" s="39"/>
      <c r="M45" s="39"/>
      <c r="N45" s="39"/>
      <c r="O45" s="39"/>
      <c r="P45" s="39"/>
      <c r="Q45" s="39"/>
      <c r="R45" s="39"/>
      <c r="S45" s="39"/>
      <c r="T45" s="39"/>
      <c r="AE45" s="15"/>
      <c r="AJ45" s="15"/>
      <c r="AO45" s="15"/>
      <c r="AT45" s="15"/>
      <c r="AY45" s="15"/>
    </row>
    <row r="46" ht="15.75" customHeight="1">
      <c r="A46" s="1" t="s">
        <v>154</v>
      </c>
      <c r="B46" s="33">
        <f>E8</f>
        <v>1</v>
      </c>
      <c r="C46" s="56">
        <f>IFS($E$8=$B41,C41, $E$8=$B42,C42,$E$8=$B43,C43,$E$8=$B44,C44,$E$8=$B45,C45)</f>
        <v>0.7</v>
      </c>
      <c r="D46" s="56">
        <f t="shared" ref="D46:T46" si="40">IFS($C$8=$B41,D41, $C$8=$B42,D42,$C$8=$B43,D43,$C$8=$B44,D44,$C$8=$B45,D45)</f>
        <v>0.7</v>
      </c>
      <c r="E46" s="56">
        <f t="shared" si="40"/>
        <v>0.7</v>
      </c>
      <c r="F46" s="56">
        <f t="shared" si="40"/>
        <v>0.7</v>
      </c>
      <c r="G46" s="56">
        <f t="shared" si="40"/>
        <v>0.7</v>
      </c>
      <c r="H46" s="56">
        <f t="shared" si="40"/>
        <v>0.7</v>
      </c>
      <c r="I46" s="56">
        <f t="shared" si="40"/>
        <v>0.7</v>
      </c>
      <c r="J46" s="56">
        <f t="shared" si="40"/>
        <v>0.7</v>
      </c>
      <c r="K46" s="56">
        <f t="shared" si="40"/>
        <v>0.7</v>
      </c>
      <c r="L46" s="56">
        <f t="shared" si="40"/>
        <v>0.7</v>
      </c>
      <c r="M46" s="56">
        <f t="shared" si="40"/>
        <v>0.7</v>
      </c>
      <c r="N46" s="56">
        <f t="shared" si="40"/>
        <v>0.7</v>
      </c>
      <c r="O46" s="56">
        <f t="shared" si="40"/>
        <v>0.7</v>
      </c>
      <c r="P46" s="56">
        <f t="shared" si="40"/>
        <v>0.7</v>
      </c>
      <c r="Q46" s="56">
        <f t="shared" si="40"/>
        <v>0.7</v>
      </c>
      <c r="R46" s="56">
        <f t="shared" si="40"/>
        <v>0.7</v>
      </c>
      <c r="S46" s="56">
        <f t="shared" si="40"/>
        <v>0.7</v>
      </c>
      <c r="T46" s="56">
        <f t="shared" si="40"/>
        <v>0.7</v>
      </c>
      <c r="AE46" s="15"/>
      <c r="AJ46" s="15"/>
      <c r="AO46" s="15"/>
      <c r="AT46" s="15"/>
      <c r="AY46" s="15"/>
    </row>
    <row r="47" ht="15.75" customHeight="1">
      <c r="AE47" s="15"/>
      <c r="AJ47" s="15"/>
      <c r="AO47" s="15"/>
      <c r="AT47" s="15"/>
      <c r="AY47" s="15"/>
    </row>
    <row r="48" ht="15.75" customHeight="1">
      <c r="A48" s="1" t="s">
        <v>156</v>
      </c>
      <c r="B48" s="1" t="s">
        <v>123</v>
      </c>
      <c r="C48" s="16" t="s">
        <v>75</v>
      </c>
      <c r="D48" s="16" t="s">
        <v>76</v>
      </c>
      <c r="E48" s="16" t="s">
        <v>78</v>
      </c>
      <c r="F48" s="16" t="s">
        <v>79</v>
      </c>
      <c r="G48" s="18" t="s">
        <v>80</v>
      </c>
      <c r="H48" s="18" t="s">
        <v>81</v>
      </c>
      <c r="I48" s="16" t="s">
        <v>83</v>
      </c>
      <c r="J48" s="18" t="s">
        <v>84</v>
      </c>
      <c r="K48" s="18" t="s">
        <v>85</v>
      </c>
      <c r="L48" s="18" t="s">
        <v>86</v>
      </c>
      <c r="M48" s="18" t="s">
        <v>88</v>
      </c>
      <c r="N48" s="18" t="s">
        <v>89</v>
      </c>
      <c r="O48" s="18" t="s">
        <v>90</v>
      </c>
      <c r="P48" s="18" t="s">
        <v>91</v>
      </c>
      <c r="Q48" s="16" t="s">
        <v>93</v>
      </c>
      <c r="R48" s="16" t="s">
        <v>94</v>
      </c>
      <c r="S48" s="18" t="s">
        <v>95</v>
      </c>
      <c r="T48" s="18" t="s">
        <v>96</v>
      </c>
      <c r="AE48" s="15"/>
      <c r="AJ48" s="15"/>
      <c r="AO48" s="15"/>
      <c r="AT48" s="15"/>
      <c r="AY48" s="15"/>
    </row>
    <row r="49" ht="15.75" customHeight="1">
      <c r="A49" s="61" t="s">
        <v>124</v>
      </c>
      <c r="B49" s="62">
        <v>1.0</v>
      </c>
      <c r="C49" s="63">
        <v>0.35</v>
      </c>
      <c r="D49" s="63">
        <f>C49*(1+-0.028)</f>
        <v>0.3402</v>
      </c>
      <c r="E49" s="63">
        <v>0.35</v>
      </c>
      <c r="F49" s="63">
        <v>0.35</v>
      </c>
      <c r="G49" s="63">
        <v>0.35</v>
      </c>
      <c r="H49" s="63">
        <v>0.35</v>
      </c>
      <c r="I49" s="63">
        <v>0.34</v>
      </c>
      <c r="J49" s="63">
        <v>0.34</v>
      </c>
      <c r="K49" s="63">
        <v>0.34</v>
      </c>
      <c r="L49" s="63">
        <v>0.34</v>
      </c>
      <c r="M49" s="63">
        <v>0.33</v>
      </c>
      <c r="N49" s="63">
        <v>0.33</v>
      </c>
      <c r="O49" s="63">
        <v>0.33</v>
      </c>
      <c r="P49" s="63">
        <v>0.33</v>
      </c>
      <c r="Q49" s="63">
        <v>0.32</v>
      </c>
      <c r="R49" s="63">
        <v>0.32</v>
      </c>
      <c r="S49" s="63">
        <v>0.32</v>
      </c>
      <c r="T49" s="63">
        <v>0.32</v>
      </c>
      <c r="AE49" s="15"/>
      <c r="AJ49" s="15"/>
      <c r="AO49" s="15"/>
      <c r="AT49" s="15"/>
      <c r="AY49" s="15"/>
    </row>
    <row r="50" ht="15.75" customHeight="1">
      <c r="A50" s="61" t="s">
        <v>125</v>
      </c>
      <c r="B50" s="62">
        <v>2.0</v>
      </c>
      <c r="C50" s="39"/>
      <c r="D50" s="39"/>
      <c r="E50" s="39"/>
      <c r="F50" s="39"/>
      <c r="G50" s="39"/>
      <c r="H50" s="39"/>
      <c r="I50" s="39"/>
      <c r="J50" s="39"/>
      <c r="K50" s="39"/>
      <c r="L50" s="39"/>
      <c r="M50" s="39"/>
      <c r="N50" s="39"/>
      <c r="O50" s="39"/>
      <c r="P50" s="39"/>
      <c r="Q50" s="39"/>
      <c r="R50" s="39"/>
      <c r="S50" s="39"/>
      <c r="T50" s="39"/>
      <c r="AE50" s="15"/>
      <c r="AJ50" s="15"/>
      <c r="AO50" s="15"/>
      <c r="AT50" s="15"/>
      <c r="AY50" s="15"/>
    </row>
    <row r="51" ht="15.75" customHeight="1">
      <c r="A51" s="61" t="s">
        <v>126</v>
      </c>
      <c r="B51" s="62">
        <v>3.0</v>
      </c>
      <c r="C51" s="39"/>
      <c r="D51" s="39"/>
      <c r="E51" s="39"/>
      <c r="F51" s="39"/>
      <c r="G51" s="39"/>
      <c r="H51" s="39"/>
      <c r="I51" s="39"/>
      <c r="J51" s="39"/>
      <c r="K51" s="39"/>
      <c r="L51" s="39"/>
      <c r="M51" s="39"/>
      <c r="N51" s="39"/>
      <c r="O51" s="39"/>
      <c r="P51" s="39"/>
      <c r="Q51" s="39"/>
      <c r="R51" s="39"/>
      <c r="S51" s="39"/>
      <c r="T51" s="39"/>
      <c r="AE51" s="15"/>
      <c r="AJ51" s="15"/>
      <c r="AO51" s="15"/>
      <c r="AT51" s="15"/>
      <c r="AY51" s="15"/>
    </row>
    <row r="52" ht="15.75" customHeight="1">
      <c r="A52" s="61" t="s">
        <v>127</v>
      </c>
      <c r="B52" s="62">
        <v>4.0</v>
      </c>
      <c r="C52" s="39"/>
      <c r="D52" s="39"/>
      <c r="E52" s="39"/>
      <c r="F52" s="39"/>
      <c r="G52" s="39"/>
      <c r="H52" s="39"/>
      <c r="I52" s="39"/>
      <c r="J52" s="39"/>
      <c r="K52" s="39"/>
      <c r="L52" s="39"/>
      <c r="M52" s="39"/>
      <c r="N52" s="39"/>
      <c r="O52" s="39"/>
      <c r="P52" s="39"/>
      <c r="Q52" s="39"/>
      <c r="R52" s="39"/>
      <c r="S52" s="39"/>
      <c r="T52" s="39"/>
      <c r="AE52" s="15"/>
      <c r="AJ52" s="15"/>
      <c r="AO52" s="15"/>
      <c r="AT52" s="15"/>
      <c r="AY52" s="15"/>
    </row>
    <row r="53" ht="15.75" customHeight="1">
      <c r="A53" s="61" t="s">
        <v>128</v>
      </c>
      <c r="B53" s="62">
        <v>5.0</v>
      </c>
      <c r="C53" s="39"/>
      <c r="D53" s="39"/>
      <c r="E53" s="39"/>
      <c r="F53" s="39"/>
      <c r="G53" s="39"/>
      <c r="H53" s="39"/>
      <c r="I53" s="39"/>
      <c r="J53" s="39"/>
      <c r="K53" s="39"/>
      <c r="L53" s="39"/>
      <c r="M53" s="39"/>
      <c r="N53" s="39"/>
      <c r="O53" s="39"/>
      <c r="P53" s="39"/>
      <c r="Q53" s="39"/>
      <c r="R53" s="39"/>
      <c r="S53" s="39"/>
      <c r="T53" s="39"/>
      <c r="AE53" s="15"/>
      <c r="AJ53" s="15"/>
      <c r="AO53" s="15"/>
      <c r="AT53" s="15"/>
      <c r="AY53" s="15"/>
    </row>
    <row r="54" ht="15.75" customHeight="1">
      <c r="A54" s="1" t="s">
        <v>157</v>
      </c>
      <c r="B54" s="33">
        <f>C17</f>
        <v>1</v>
      </c>
      <c r="C54" s="56">
        <f t="shared" ref="C54:T54" si="41">IFS($C$17=$B49,C49, $C$17=$B50,C50,$C$17=$B51,C51,$C$17=$B52,C52,$C$17=$B53,C53)</f>
        <v>0.35</v>
      </c>
      <c r="D54" s="56">
        <f t="shared" si="41"/>
        <v>0.3402</v>
      </c>
      <c r="E54" s="56">
        <f t="shared" si="41"/>
        <v>0.35</v>
      </c>
      <c r="F54" s="56">
        <f t="shared" si="41"/>
        <v>0.35</v>
      </c>
      <c r="G54" s="56">
        <f t="shared" si="41"/>
        <v>0.35</v>
      </c>
      <c r="H54" s="56">
        <f t="shared" si="41"/>
        <v>0.35</v>
      </c>
      <c r="I54" s="56">
        <f t="shared" si="41"/>
        <v>0.34</v>
      </c>
      <c r="J54" s="56">
        <f t="shared" si="41"/>
        <v>0.34</v>
      </c>
      <c r="K54" s="56">
        <f t="shared" si="41"/>
        <v>0.34</v>
      </c>
      <c r="L54" s="56">
        <f t="shared" si="41"/>
        <v>0.34</v>
      </c>
      <c r="M54" s="56">
        <f t="shared" si="41"/>
        <v>0.33</v>
      </c>
      <c r="N54" s="56">
        <f t="shared" si="41"/>
        <v>0.33</v>
      </c>
      <c r="O54" s="56">
        <f t="shared" si="41"/>
        <v>0.33</v>
      </c>
      <c r="P54" s="56">
        <f t="shared" si="41"/>
        <v>0.33</v>
      </c>
      <c r="Q54" s="56">
        <f t="shared" si="41"/>
        <v>0.32</v>
      </c>
      <c r="R54" s="56">
        <f t="shared" si="41"/>
        <v>0.32</v>
      </c>
      <c r="S54" s="56">
        <f t="shared" si="41"/>
        <v>0.32</v>
      </c>
      <c r="T54" s="56">
        <f t="shared" si="41"/>
        <v>0.32</v>
      </c>
      <c r="AE54" s="15"/>
      <c r="AJ54" s="15"/>
      <c r="AO54" s="15"/>
      <c r="AT54" s="15"/>
      <c r="AY54" s="15"/>
    </row>
    <row r="55" ht="15.75" customHeight="1">
      <c r="AE55" s="15"/>
      <c r="AJ55" s="15"/>
      <c r="AO55" s="15"/>
      <c r="AT55" s="15"/>
      <c r="AY55" s="15"/>
    </row>
    <row r="56" ht="15.75" customHeight="1">
      <c r="A56" s="1" t="s">
        <v>158</v>
      </c>
      <c r="B56" s="1" t="s">
        <v>123</v>
      </c>
      <c r="C56" s="16" t="s">
        <v>75</v>
      </c>
      <c r="D56" s="16" t="s">
        <v>76</v>
      </c>
      <c r="E56" s="16" t="s">
        <v>78</v>
      </c>
      <c r="F56" s="16" t="s">
        <v>79</v>
      </c>
      <c r="G56" s="18" t="s">
        <v>80</v>
      </c>
      <c r="H56" s="18" t="s">
        <v>81</v>
      </c>
      <c r="I56" s="16" t="s">
        <v>83</v>
      </c>
      <c r="J56" s="18" t="s">
        <v>84</v>
      </c>
      <c r="K56" s="18" t="s">
        <v>85</v>
      </c>
      <c r="L56" s="18" t="s">
        <v>86</v>
      </c>
      <c r="M56" s="18" t="s">
        <v>88</v>
      </c>
      <c r="N56" s="18" t="s">
        <v>89</v>
      </c>
      <c r="O56" s="18" t="s">
        <v>90</v>
      </c>
      <c r="P56" s="18" t="s">
        <v>91</v>
      </c>
      <c r="Q56" s="16" t="s">
        <v>93</v>
      </c>
      <c r="R56" s="16" t="s">
        <v>94</v>
      </c>
      <c r="S56" s="18" t="s">
        <v>95</v>
      </c>
      <c r="T56" s="18" t="s">
        <v>96</v>
      </c>
      <c r="AE56" s="15"/>
      <c r="AJ56" s="15"/>
      <c r="AO56" s="15"/>
      <c r="AT56" s="15"/>
      <c r="AY56" s="15"/>
    </row>
    <row r="57" ht="15.75" customHeight="1">
      <c r="A57" s="61" t="s">
        <v>124</v>
      </c>
      <c r="B57" s="62">
        <v>1.0</v>
      </c>
      <c r="C57" s="63">
        <v>0.25</v>
      </c>
      <c r="D57" s="63">
        <v>0.25</v>
      </c>
      <c r="E57" s="63">
        <v>0.25</v>
      </c>
      <c r="F57" s="63">
        <v>0.25</v>
      </c>
      <c r="G57" s="63">
        <v>0.25</v>
      </c>
      <c r="H57" s="63">
        <v>0.25</v>
      </c>
      <c r="I57" s="63">
        <v>0.25</v>
      </c>
      <c r="J57" s="63">
        <v>0.25</v>
      </c>
      <c r="K57" s="63">
        <v>0.25</v>
      </c>
      <c r="L57" s="63">
        <v>0.25</v>
      </c>
      <c r="M57" s="63">
        <v>0.25</v>
      </c>
      <c r="N57" s="63">
        <v>0.25</v>
      </c>
      <c r="O57" s="63">
        <v>0.25</v>
      </c>
      <c r="P57" s="63">
        <v>0.25</v>
      </c>
      <c r="Q57" s="63">
        <v>0.25</v>
      </c>
      <c r="R57" s="63">
        <v>0.25</v>
      </c>
      <c r="S57" s="63">
        <v>0.25</v>
      </c>
      <c r="T57" s="63">
        <v>0.25</v>
      </c>
      <c r="AE57" s="15"/>
      <c r="AJ57" s="15"/>
      <c r="AO57" s="15"/>
      <c r="AT57" s="15"/>
      <c r="AY57" s="15"/>
    </row>
    <row r="58" ht="15.75" customHeight="1">
      <c r="A58" s="61" t="s">
        <v>125</v>
      </c>
      <c r="B58" s="62">
        <v>2.0</v>
      </c>
      <c r="C58" s="39"/>
      <c r="D58" s="39"/>
      <c r="E58" s="39"/>
      <c r="F58" s="39"/>
      <c r="G58" s="39"/>
      <c r="H58" s="39"/>
      <c r="I58" s="39"/>
      <c r="J58" s="39"/>
      <c r="K58" s="39"/>
      <c r="L58" s="39"/>
      <c r="M58" s="39"/>
      <c r="N58" s="39"/>
      <c r="O58" s="39"/>
      <c r="P58" s="39"/>
      <c r="Q58" s="39"/>
      <c r="R58" s="39"/>
      <c r="S58" s="39"/>
      <c r="T58" s="39"/>
      <c r="AE58" s="15"/>
      <c r="AJ58" s="15"/>
      <c r="AO58" s="15"/>
      <c r="AT58" s="15"/>
      <c r="AY58" s="15"/>
    </row>
    <row r="59" ht="15.75" customHeight="1">
      <c r="A59" s="61" t="s">
        <v>126</v>
      </c>
      <c r="B59" s="62">
        <v>3.0</v>
      </c>
      <c r="C59" s="39"/>
      <c r="D59" s="39"/>
      <c r="E59" s="39"/>
      <c r="F59" s="39"/>
      <c r="G59" s="39"/>
      <c r="H59" s="39"/>
      <c r="I59" s="39"/>
      <c r="J59" s="39"/>
      <c r="K59" s="39"/>
      <c r="L59" s="39"/>
      <c r="M59" s="39"/>
      <c r="N59" s="39"/>
      <c r="O59" s="39"/>
      <c r="P59" s="39"/>
      <c r="Q59" s="39"/>
      <c r="R59" s="39"/>
      <c r="S59" s="39"/>
      <c r="T59" s="39"/>
      <c r="AE59" s="15"/>
      <c r="AJ59" s="15"/>
      <c r="AO59" s="15"/>
      <c r="AT59" s="15"/>
      <c r="AY59" s="15"/>
    </row>
    <row r="60" ht="15.75" customHeight="1">
      <c r="A60" s="61" t="s">
        <v>127</v>
      </c>
      <c r="B60" s="62">
        <v>4.0</v>
      </c>
      <c r="C60" s="39"/>
      <c r="D60" s="39"/>
      <c r="E60" s="39"/>
      <c r="F60" s="39"/>
      <c r="G60" s="39"/>
      <c r="H60" s="39"/>
      <c r="I60" s="39"/>
      <c r="J60" s="39"/>
      <c r="K60" s="39"/>
      <c r="L60" s="39"/>
      <c r="M60" s="39"/>
      <c r="N60" s="39"/>
      <c r="O60" s="39"/>
      <c r="P60" s="39"/>
      <c r="Q60" s="39"/>
      <c r="R60" s="39"/>
      <c r="S60" s="39"/>
      <c r="T60" s="39"/>
      <c r="AE60" s="15"/>
      <c r="AJ60" s="15"/>
      <c r="AO60" s="15"/>
      <c r="AT60" s="15"/>
      <c r="AY60" s="15"/>
    </row>
    <row r="61" ht="15.75" customHeight="1">
      <c r="A61" s="61" t="s">
        <v>128</v>
      </c>
      <c r="B61" s="62">
        <v>5.0</v>
      </c>
      <c r="C61" s="39"/>
      <c r="D61" s="39"/>
      <c r="E61" s="39"/>
      <c r="F61" s="39"/>
      <c r="G61" s="39"/>
      <c r="H61" s="39"/>
      <c r="I61" s="39"/>
      <c r="J61" s="39"/>
      <c r="K61" s="39"/>
      <c r="L61" s="39"/>
      <c r="M61" s="39"/>
      <c r="N61" s="39"/>
      <c r="O61" s="39"/>
      <c r="P61" s="39"/>
      <c r="Q61" s="39"/>
      <c r="R61" s="39"/>
      <c r="S61" s="39"/>
      <c r="T61" s="39"/>
      <c r="AE61" s="15"/>
      <c r="AJ61" s="15"/>
      <c r="AO61" s="15"/>
      <c r="AT61" s="15"/>
      <c r="AY61" s="15"/>
    </row>
    <row r="62" ht="15.75" customHeight="1">
      <c r="A62" s="1" t="s">
        <v>159</v>
      </c>
      <c r="B62" s="33">
        <f>E17</f>
        <v>1</v>
      </c>
      <c r="C62" s="56">
        <f t="shared" ref="C62:T62" si="42">IFS($E$17=$B57,C57, $E$17=$B58,C58,$E$17=$B59,C59,$E$17=$B60,C60,$E$17=$B61,C61)</f>
        <v>0.25</v>
      </c>
      <c r="D62" s="56">
        <f t="shared" si="42"/>
        <v>0.25</v>
      </c>
      <c r="E62" s="56">
        <f t="shared" si="42"/>
        <v>0.25</v>
      </c>
      <c r="F62" s="56">
        <f t="shared" si="42"/>
        <v>0.25</v>
      </c>
      <c r="G62" s="56">
        <f t="shared" si="42"/>
        <v>0.25</v>
      </c>
      <c r="H62" s="56">
        <f t="shared" si="42"/>
        <v>0.25</v>
      </c>
      <c r="I62" s="56">
        <f t="shared" si="42"/>
        <v>0.25</v>
      </c>
      <c r="J62" s="56">
        <f t="shared" si="42"/>
        <v>0.25</v>
      </c>
      <c r="K62" s="56">
        <f t="shared" si="42"/>
        <v>0.25</v>
      </c>
      <c r="L62" s="56">
        <f t="shared" si="42"/>
        <v>0.25</v>
      </c>
      <c r="M62" s="56">
        <f t="shared" si="42"/>
        <v>0.25</v>
      </c>
      <c r="N62" s="56">
        <f t="shared" si="42"/>
        <v>0.25</v>
      </c>
      <c r="O62" s="56">
        <f t="shared" si="42"/>
        <v>0.25</v>
      </c>
      <c r="P62" s="56">
        <f t="shared" si="42"/>
        <v>0.25</v>
      </c>
      <c r="Q62" s="56">
        <f t="shared" si="42"/>
        <v>0.25</v>
      </c>
      <c r="R62" s="56">
        <f t="shared" si="42"/>
        <v>0.25</v>
      </c>
      <c r="S62" s="56">
        <f t="shared" si="42"/>
        <v>0.25</v>
      </c>
      <c r="T62" s="56">
        <f t="shared" si="42"/>
        <v>0.25</v>
      </c>
      <c r="AE62" s="15"/>
      <c r="AJ62" s="15"/>
      <c r="AO62" s="15"/>
      <c r="AT62" s="15"/>
      <c r="AY62" s="15"/>
    </row>
    <row r="63" ht="15.75" customHeight="1">
      <c r="AE63" s="15"/>
      <c r="AJ63" s="15"/>
      <c r="AO63" s="15"/>
      <c r="AT63" s="15"/>
      <c r="AY63" s="15"/>
    </row>
    <row r="64" ht="15.75" customHeight="1">
      <c r="A64" s="1" t="s">
        <v>160</v>
      </c>
      <c r="B64" s="1" t="s">
        <v>123</v>
      </c>
      <c r="C64" s="16" t="s">
        <v>75</v>
      </c>
      <c r="D64" s="16" t="s">
        <v>76</v>
      </c>
      <c r="E64" s="16" t="s">
        <v>78</v>
      </c>
      <c r="F64" s="16" t="s">
        <v>79</v>
      </c>
      <c r="G64" s="18" t="s">
        <v>80</v>
      </c>
      <c r="H64" s="18" t="s">
        <v>81</v>
      </c>
      <c r="I64" s="16" t="s">
        <v>83</v>
      </c>
      <c r="J64" s="18" t="s">
        <v>84</v>
      </c>
      <c r="K64" s="18" t="s">
        <v>85</v>
      </c>
      <c r="L64" s="18" t="s">
        <v>86</v>
      </c>
      <c r="M64" s="18" t="s">
        <v>88</v>
      </c>
      <c r="N64" s="18" t="s">
        <v>89</v>
      </c>
      <c r="O64" s="18" t="s">
        <v>90</v>
      </c>
      <c r="P64" s="18" t="s">
        <v>91</v>
      </c>
      <c r="Q64" s="16" t="s">
        <v>93</v>
      </c>
      <c r="R64" s="16" t="s">
        <v>94</v>
      </c>
      <c r="S64" s="18" t="s">
        <v>95</v>
      </c>
      <c r="T64" s="18" t="s">
        <v>96</v>
      </c>
      <c r="AE64" s="15"/>
      <c r="AJ64" s="15"/>
      <c r="AO64" s="15"/>
      <c r="AT64" s="15"/>
      <c r="AY64" s="15"/>
    </row>
    <row r="65" ht="15.75" customHeight="1">
      <c r="A65" s="61" t="s">
        <v>124</v>
      </c>
      <c r="B65" s="62">
        <v>1.0</v>
      </c>
      <c r="C65" s="63">
        <v>0.12</v>
      </c>
      <c r="D65" s="63">
        <v>0.12</v>
      </c>
      <c r="E65" s="63">
        <v>0.12</v>
      </c>
      <c r="F65" s="63">
        <v>0.12</v>
      </c>
      <c r="G65" s="63">
        <v>0.12</v>
      </c>
      <c r="H65" s="63">
        <v>0.12</v>
      </c>
      <c r="I65" s="63">
        <v>0.12</v>
      </c>
      <c r="J65" s="63">
        <v>0.12</v>
      </c>
      <c r="K65" s="63">
        <v>0.12</v>
      </c>
      <c r="L65" s="63">
        <v>0.12</v>
      </c>
      <c r="M65" s="63">
        <v>0.12</v>
      </c>
      <c r="N65" s="63">
        <v>0.12</v>
      </c>
      <c r="O65" s="63">
        <v>0.12</v>
      </c>
      <c r="P65" s="63">
        <v>0.12</v>
      </c>
      <c r="Q65" s="63">
        <v>0.12</v>
      </c>
      <c r="R65" s="63">
        <v>0.12</v>
      </c>
      <c r="S65" s="63">
        <v>0.12</v>
      </c>
      <c r="T65" s="63">
        <v>0.12</v>
      </c>
      <c r="AE65" s="15"/>
      <c r="AJ65" s="15"/>
      <c r="AO65" s="15"/>
      <c r="AT65" s="15"/>
      <c r="AY65" s="15"/>
    </row>
    <row r="66" ht="15.75" customHeight="1">
      <c r="A66" s="61" t="s">
        <v>125</v>
      </c>
      <c r="B66" s="62">
        <v>2.0</v>
      </c>
      <c r="C66" s="39"/>
      <c r="D66" s="39"/>
      <c r="E66" s="39"/>
      <c r="F66" s="39"/>
      <c r="G66" s="39"/>
      <c r="H66" s="39"/>
      <c r="I66" s="39"/>
      <c r="J66" s="39"/>
      <c r="K66" s="39"/>
      <c r="L66" s="39"/>
      <c r="M66" s="39"/>
      <c r="N66" s="39"/>
      <c r="O66" s="39"/>
      <c r="P66" s="39"/>
      <c r="Q66" s="39"/>
      <c r="R66" s="39"/>
      <c r="S66" s="39"/>
      <c r="T66" s="39"/>
      <c r="AE66" s="15"/>
      <c r="AJ66" s="15"/>
      <c r="AO66" s="15"/>
      <c r="AT66" s="15"/>
      <c r="AY66" s="15"/>
    </row>
    <row r="67" ht="15.75" customHeight="1">
      <c r="A67" s="61" t="s">
        <v>126</v>
      </c>
      <c r="B67" s="62">
        <v>3.0</v>
      </c>
      <c r="C67" s="39"/>
      <c r="D67" s="39"/>
      <c r="E67" s="39"/>
      <c r="F67" s="39"/>
      <c r="G67" s="39"/>
      <c r="H67" s="39"/>
      <c r="I67" s="39"/>
      <c r="J67" s="39"/>
      <c r="K67" s="39"/>
      <c r="L67" s="39"/>
      <c r="M67" s="39"/>
      <c r="N67" s="39"/>
      <c r="O67" s="39"/>
      <c r="P67" s="39"/>
      <c r="Q67" s="39"/>
      <c r="R67" s="39"/>
      <c r="S67" s="39"/>
      <c r="T67" s="39"/>
      <c r="AE67" s="15"/>
      <c r="AJ67" s="15"/>
      <c r="AO67" s="15"/>
      <c r="AT67" s="15"/>
      <c r="AY67" s="15"/>
    </row>
    <row r="68" ht="15.75" customHeight="1">
      <c r="A68" s="61" t="s">
        <v>127</v>
      </c>
      <c r="B68" s="62">
        <v>4.0</v>
      </c>
      <c r="C68" s="39"/>
      <c r="D68" s="39"/>
      <c r="E68" s="39"/>
      <c r="F68" s="39"/>
      <c r="G68" s="39"/>
      <c r="H68" s="39"/>
      <c r="I68" s="39"/>
      <c r="J68" s="39"/>
      <c r="K68" s="39"/>
      <c r="L68" s="39"/>
      <c r="M68" s="39"/>
      <c r="N68" s="39"/>
      <c r="O68" s="39"/>
      <c r="P68" s="39"/>
      <c r="Q68" s="39"/>
      <c r="R68" s="39"/>
      <c r="S68" s="39"/>
      <c r="T68" s="39"/>
      <c r="AE68" s="15"/>
      <c r="AJ68" s="15"/>
      <c r="AO68" s="15"/>
      <c r="AT68" s="15"/>
      <c r="AY68" s="15"/>
    </row>
    <row r="69" ht="15.75" customHeight="1">
      <c r="A69" s="61" t="s">
        <v>128</v>
      </c>
      <c r="B69" s="62">
        <v>5.0</v>
      </c>
      <c r="C69" s="39"/>
      <c r="D69" s="39"/>
      <c r="E69" s="39"/>
      <c r="F69" s="39"/>
      <c r="G69" s="39"/>
      <c r="H69" s="39"/>
      <c r="I69" s="39"/>
      <c r="J69" s="39"/>
      <c r="K69" s="39"/>
      <c r="L69" s="39"/>
      <c r="M69" s="39"/>
      <c r="N69" s="39"/>
      <c r="O69" s="39"/>
      <c r="P69" s="39"/>
      <c r="Q69" s="39"/>
      <c r="R69" s="39"/>
      <c r="S69" s="39"/>
      <c r="T69" s="39"/>
      <c r="AE69" s="15"/>
      <c r="AJ69" s="15"/>
      <c r="AO69" s="15"/>
      <c r="AT69" s="15"/>
      <c r="AY69" s="15"/>
    </row>
    <row r="70" ht="15.75" customHeight="1">
      <c r="A70" s="1" t="s">
        <v>161</v>
      </c>
      <c r="B70" s="33">
        <f>G17</f>
        <v>1</v>
      </c>
      <c r="C70" s="56">
        <f t="shared" ref="C70:T70" si="43">IFS($G$17=$B65,C65, $G$17=$B66,C66,$G$17=$B67,C67,$G$17=$B68,C68,$G$17=$B69,C69)</f>
        <v>0.12</v>
      </c>
      <c r="D70" s="56">
        <f t="shared" si="43"/>
        <v>0.12</v>
      </c>
      <c r="E70" s="56">
        <f t="shared" si="43"/>
        <v>0.12</v>
      </c>
      <c r="F70" s="56">
        <f t="shared" si="43"/>
        <v>0.12</v>
      </c>
      <c r="G70" s="56">
        <f t="shared" si="43"/>
        <v>0.12</v>
      </c>
      <c r="H70" s="56">
        <f t="shared" si="43"/>
        <v>0.12</v>
      </c>
      <c r="I70" s="56">
        <f t="shared" si="43"/>
        <v>0.12</v>
      </c>
      <c r="J70" s="56">
        <f t="shared" si="43"/>
        <v>0.12</v>
      </c>
      <c r="K70" s="56">
        <f t="shared" si="43"/>
        <v>0.12</v>
      </c>
      <c r="L70" s="56">
        <f t="shared" si="43"/>
        <v>0.12</v>
      </c>
      <c r="M70" s="56">
        <f t="shared" si="43"/>
        <v>0.12</v>
      </c>
      <c r="N70" s="56">
        <f t="shared" si="43"/>
        <v>0.12</v>
      </c>
      <c r="O70" s="56">
        <f t="shared" si="43"/>
        <v>0.12</v>
      </c>
      <c r="P70" s="56">
        <f t="shared" si="43"/>
        <v>0.12</v>
      </c>
      <c r="Q70" s="56">
        <f t="shared" si="43"/>
        <v>0.12</v>
      </c>
      <c r="R70" s="56">
        <f t="shared" si="43"/>
        <v>0.12</v>
      </c>
      <c r="S70" s="56">
        <f t="shared" si="43"/>
        <v>0.12</v>
      </c>
      <c r="T70" s="56">
        <f t="shared" si="43"/>
        <v>0.12</v>
      </c>
      <c r="AE70" s="15"/>
      <c r="AJ70" s="15"/>
      <c r="AO70" s="15"/>
      <c r="AT70" s="15"/>
      <c r="AY70" s="15"/>
    </row>
    <row r="71" ht="15.75" customHeight="1">
      <c r="AE71" s="15"/>
      <c r="AJ71" s="15"/>
      <c r="AO71" s="15"/>
      <c r="AT71" s="15"/>
      <c r="AY71" s="15"/>
    </row>
    <row r="72" ht="15.75" customHeight="1">
      <c r="AE72" s="15"/>
      <c r="AJ72" s="15"/>
      <c r="AO72" s="15"/>
      <c r="AT72" s="15"/>
      <c r="AY72" s="15"/>
    </row>
    <row r="73" ht="15.75" customHeight="1">
      <c r="AE73" s="15"/>
      <c r="AJ73" s="15"/>
      <c r="AO73" s="15"/>
      <c r="AT73" s="15"/>
      <c r="AY73" s="15"/>
    </row>
    <row r="74" ht="15.75" customHeight="1">
      <c r="AE74" s="15"/>
      <c r="AJ74" s="15"/>
      <c r="AO74" s="15"/>
      <c r="AT74" s="15"/>
      <c r="AY74" s="15"/>
    </row>
    <row r="75" ht="15.75" customHeight="1">
      <c r="AE75" s="15"/>
      <c r="AJ75" s="15"/>
      <c r="AO75" s="15"/>
      <c r="AT75" s="15"/>
      <c r="AY75" s="15"/>
    </row>
    <row r="76" ht="15.75" customHeight="1">
      <c r="AE76" s="15"/>
      <c r="AJ76" s="15"/>
      <c r="AO76" s="15"/>
      <c r="AT76" s="15"/>
      <c r="AY76" s="15"/>
    </row>
    <row r="77" ht="15.75" customHeight="1">
      <c r="AE77" s="15"/>
      <c r="AJ77" s="15"/>
      <c r="AO77" s="15"/>
      <c r="AT77" s="15"/>
      <c r="AY77" s="15"/>
    </row>
    <row r="78" ht="15.75" customHeight="1">
      <c r="AE78" s="15"/>
      <c r="AJ78" s="15"/>
      <c r="AO78" s="15"/>
      <c r="AT78" s="15"/>
      <c r="AY78" s="15"/>
    </row>
    <row r="79" ht="15.75" customHeight="1">
      <c r="AE79" s="15"/>
      <c r="AJ79" s="15"/>
      <c r="AO79" s="15"/>
      <c r="AT79" s="15"/>
      <c r="AY79" s="15"/>
    </row>
    <row r="80" ht="15.75" customHeight="1">
      <c r="AE80" s="15"/>
      <c r="AJ80" s="15"/>
      <c r="AO80" s="15"/>
      <c r="AT80" s="15"/>
      <c r="AY80" s="15"/>
    </row>
    <row r="81" ht="15.75" customHeight="1">
      <c r="AE81" s="15"/>
      <c r="AJ81" s="15"/>
      <c r="AO81" s="15"/>
      <c r="AT81" s="15"/>
      <c r="AY81" s="15"/>
    </row>
    <row r="82" ht="15.75" customHeight="1">
      <c r="AE82" s="15"/>
      <c r="AJ82" s="15"/>
      <c r="AO82" s="15"/>
      <c r="AT82" s="15"/>
      <c r="AY82" s="15"/>
    </row>
    <row r="83" ht="15.75" customHeight="1">
      <c r="AE83" s="15"/>
      <c r="AJ83" s="15"/>
      <c r="AO83" s="15"/>
      <c r="AT83" s="15"/>
      <c r="AY83" s="15"/>
    </row>
    <row r="84" ht="15.75" customHeight="1">
      <c r="AE84" s="15"/>
      <c r="AJ84" s="15"/>
      <c r="AO84" s="15"/>
      <c r="AT84" s="15"/>
      <c r="AY84" s="15"/>
    </row>
    <row r="85" ht="15.75" customHeight="1">
      <c r="AE85" s="15"/>
      <c r="AJ85" s="15"/>
      <c r="AO85" s="15"/>
      <c r="AT85" s="15"/>
      <c r="AY85" s="15"/>
    </row>
    <row r="86" ht="15.75" customHeight="1">
      <c r="AE86" s="15"/>
      <c r="AJ86" s="15"/>
      <c r="AO86" s="15"/>
      <c r="AT86" s="15"/>
      <c r="AY86" s="15"/>
    </row>
    <row r="87" ht="15.75" customHeight="1">
      <c r="AE87" s="15"/>
      <c r="AJ87" s="15"/>
      <c r="AO87" s="15"/>
      <c r="AT87" s="15"/>
      <c r="AY87" s="15"/>
    </row>
    <row r="88" ht="15.75" customHeight="1">
      <c r="AE88" s="15"/>
      <c r="AJ88" s="15"/>
      <c r="AO88" s="15"/>
      <c r="AT88" s="15"/>
      <c r="AY88" s="15"/>
    </row>
    <row r="89" ht="15.75" customHeight="1">
      <c r="AE89" s="15"/>
      <c r="AJ89" s="15"/>
      <c r="AO89" s="15"/>
      <c r="AT89" s="15"/>
      <c r="AY89" s="15"/>
    </row>
    <row r="90" ht="15.75" customHeight="1">
      <c r="AE90" s="15"/>
      <c r="AJ90" s="15"/>
      <c r="AO90" s="15"/>
      <c r="AT90" s="15"/>
      <c r="AY90" s="15"/>
    </row>
    <row r="91" ht="15.75" customHeight="1">
      <c r="AE91" s="15"/>
      <c r="AJ91" s="15"/>
      <c r="AO91" s="15"/>
      <c r="AT91" s="15"/>
      <c r="AY91" s="15"/>
    </row>
    <row r="92" ht="15.75" customHeight="1">
      <c r="AE92" s="15"/>
      <c r="AJ92" s="15"/>
      <c r="AO92" s="15"/>
      <c r="AT92" s="15"/>
      <c r="AY92" s="15"/>
    </row>
    <row r="93" ht="15.75" customHeight="1">
      <c r="AE93" s="15"/>
      <c r="AJ93" s="15"/>
      <c r="AO93" s="15"/>
      <c r="AT93" s="15"/>
      <c r="AY93" s="15"/>
    </row>
    <row r="94" ht="15.75" customHeight="1">
      <c r="AE94" s="15"/>
      <c r="AJ94" s="15"/>
      <c r="AO94" s="15"/>
      <c r="AT94" s="15"/>
      <c r="AY94" s="15"/>
    </row>
    <row r="95" ht="15.75" customHeight="1">
      <c r="AE95" s="15"/>
      <c r="AJ95" s="15"/>
      <c r="AO95" s="15"/>
      <c r="AT95" s="15"/>
      <c r="AY95" s="15"/>
    </row>
    <row r="96" ht="15.75" customHeight="1">
      <c r="AE96" s="15"/>
      <c r="AJ96" s="15"/>
      <c r="AO96" s="15"/>
      <c r="AT96" s="15"/>
      <c r="AY96" s="15"/>
    </row>
    <row r="97" ht="15.75" customHeight="1">
      <c r="AE97" s="15"/>
      <c r="AJ97" s="15"/>
      <c r="AO97" s="15"/>
      <c r="AT97" s="15"/>
      <c r="AY97" s="15"/>
    </row>
    <row r="98" ht="15.75" customHeight="1">
      <c r="AE98" s="15"/>
      <c r="AJ98" s="15"/>
      <c r="AO98" s="15"/>
      <c r="AT98" s="15"/>
      <c r="AY98" s="15"/>
    </row>
    <row r="99" ht="15.75" customHeight="1">
      <c r="AE99" s="15"/>
      <c r="AJ99" s="15"/>
      <c r="AO99" s="15"/>
      <c r="AT99" s="15"/>
      <c r="AY99" s="15"/>
    </row>
    <row r="100" ht="15.75" customHeight="1">
      <c r="AE100" s="15"/>
      <c r="AJ100" s="15"/>
      <c r="AO100" s="15"/>
      <c r="AT100" s="15"/>
      <c r="AY100" s="15"/>
    </row>
    <row r="101" ht="15.75" customHeight="1">
      <c r="AE101" s="15"/>
      <c r="AJ101" s="15"/>
      <c r="AO101" s="15"/>
      <c r="AT101" s="15"/>
      <c r="AY101" s="15"/>
    </row>
    <row r="102" ht="15.75" customHeight="1">
      <c r="AE102" s="15"/>
      <c r="AJ102" s="15"/>
      <c r="AO102" s="15"/>
      <c r="AT102" s="15"/>
      <c r="AY102" s="15"/>
    </row>
    <row r="103" ht="15.75" customHeight="1">
      <c r="AE103" s="15"/>
      <c r="AJ103" s="15"/>
      <c r="AO103" s="15"/>
      <c r="AT103" s="15"/>
      <c r="AY103" s="15"/>
    </row>
    <row r="104" ht="15.75" customHeight="1">
      <c r="AE104" s="15"/>
      <c r="AJ104" s="15"/>
      <c r="AO104" s="15"/>
      <c r="AT104" s="15"/>
      <c r="AY104" s="15"/>
    </row>
    <row r="105" ht="15.75" customHeight="1">
      <c r="AE105" s="15"/>
      <c r="AJ105" s="15"/>
      <c r="AO105" s="15"/>
      <c r="AT105" s="15"/>
      <c r="AY105" s="15"/>
    </row>
    <row r="106" ht="15.75" customHeight="1">
      <c r="AE106" s="15"/>
      <c r="AJ106" s="15"/>
      <c r="AO106" s="15"/>
      <c r="AT106" s="15"/>
      <c r="AY106" s="15"/>
    </row>
    <row r="107" ht="15.75" customHeight="1">
      <c r="AE107" s="15"/>
      <c r="AJ107" s="15"/>
      <c r="AO107" s="15"/>
      <c r="AT107" s="15"/>
      <c r="AY107" s="15"/>
    </row>
    <row r="108" ht="15.75" customHeight="1">
      <c r="AE108" s="15"/>
      <c r="AJ108" s="15"/>
      <c r="AO108" s="15"/>
      <c r="AT108" s="15"/>
      <c r="AY108" s="15"/>
    </row>
    <row r="109" ht="15.75" customHeight="1">
      <c r="AE109" s="15"/>
      <c r="AJ109" s="15"/>
      <c r="AO109" s="15"/>
      <c r="AT109" s="15"/>
      <c r="AY109" s="15"/>
    </row>
    <row r="110" ht="15.75" customHeight="1">
      <c r="AE110" s="15"/>
      <c r="AJ110" s="15"/>
      <c r="AO110" s="15"/>
      <c r="AT110" s="15"/>
      <c r="AY110" s="15"/>
    </row>
    <row r="111" ht="15.75" customHeight="1">
      <c r="AE111" s="15"/>
      <c r="AJ111" s="15"/>
      <c r="AO111" s="15"/>
      <c r="AT111" s="15"/>
      <c r="AY111" s="15"/>
    </row>
    <row r="112" ht="15.75" customHeight="1">
      <c r="AE112" s="15"/>
      <c r="AJ112" s="15"/>
      <c r="AO112" s="15"/>
      <c r="AT112" s="15"/>
      <c r="AY112" s="15"/>
    </row>
    <row r="113" ht="15.75" customHeight="1">
      <c r="AE113" s="15"/>
      <c r="AJ113" s="15"/>
      <c r="AO113" s="15"/>
      <c r="AT113" s="15"/>
      <c r="AY113" s="15"/>
    </row>
    <row r="114" ht="15.75" customHeight="1">
      <c r="AE114" s="15"/>
      <c r="AJ114" s="15"/>
      <c r="AO114" s="15"/>
      <c r="AT114" s="15"/>
      <c r="AY114" s="15"/>
    </row>
    <row r="115" ht="15.75" customHeight="1">
      <c r="AE115" s="15"/>
      <c r="AJ115" s="15"/>
      <c r="AO115" s="15"/>
      <c r="AT115" s="15"/>
      <c r="AY115" s="15"/>
    </row>
    <row r="116" ht="15.75" customHeight="1">
      <c r="AE116" s="15"/>
      <c r="AJ116" s="15"/>
      <c r="AO116" s="15"/>
      <c r="AT116" s="15"/>
      <c r="AY116" s="15"/>
    </row>
    <row r="117" ht="15.75" customHeight="1">
      <c r="AE117" s="15"/>
      <c r="AJ117" s="15"/>
      <c r="AO117" s="15"/>
      <c r="AT117" s="15"/>
      <c r="AY117" s="15"/>
    </row>
    <row r="118" ht="15.75" customHeight="1">
      <c r="AE118" s="15"/>
      <c r="AJ118" s="15"/>
      <c r="AO118" s="15"/>
      <c r="AT118" s="15"/>
      <c r="AY118" s="15"/>
    </row>
    <row r="119" ht="15.75" customHeight="1">
      <c r="AE119" s="15"/>
      <c r="AJ119" s="15"/>
      <c r="AO119" s="15"/>
      <c r="AT119" s="15"/>
      <c r="AY119" s="15"/>
    </row>
    <row r="120" ht="15.75" customHeight="1">
      <c r="AE120" s="15"/>
      <c r="AJ120" s="15"/>
      <c r="AO120" s="15"/>
      <c r="AT120" s="15"/>
      <c r="AY120" s="15"/>
    </row>
    <row r="121" ht="15.75" customHeight="1">
      <c r="AE121" s="15"/>
      <c r="AJ121" s="15"/>
      <c r="AO121" s="15"/>
      <c r="AT121" s="15"/>
      <c r="AY121" s="15"/>
    </row>
    <row r="122" ht="15.75" customHeight="1">
      <c r="AE122" s="15"/>
      <c r="AJ122" s="15"/>
      <c r="AO122" s="15"/>
      <c r="AT122" s="15"/>
      <c r="AY122" s="15"/>
    </row>
    <row r="123" ht="15.75" customHeight="1">
      <c r="AE123" s="15"/>
      <c r="AJ123" s="15"/>
      <c r="AO123" s="15"/>
      <c r="AT123" s="15"/>
      <c r="AY123" s="15"/>
    </row>
    <row r="124" ht="15.75" customHeight="1">
      <c r="AE124" s="15"/>
      <c r="AJ124" s="15"/>
      <c r="AO124" s="15"/>
      <c r="AT124" s="15"/>
      <c r="AY124" s="15"/>
    </row>
    <row r="125" ht="15.75" customHeight="1">
      <c r="AE125" s="15"/>
      <c r="AJ125" s="15"/>
      <c r="AO125" s="15"/>
      <c r="AT125" s="15"/>
      <c r="AY125" s="15"/>
    </row>
    <row r="126" ht="15.75" customHeight="1">
      <c r="AE126" s="15"/>
      <c r="AJ126" s="15"/>
      <c r="AO126" s="15"/>
      <c r="AT126" s="15"/>
      <c r="AY126" s="15"/>
    </row>
    <row r="127" ht="15.75" customHeight="1">
      <c r="AE127" s="15"/>
      <c r="AJ127" s="15"/>
      <c r="AO127" s="15"/>
      <c r="AT127" s="15"/>
      <c r="AY127" s="15"/>
    </row>
    <row r="128" ht="15.75" customHeight="1">
      <c r="AE128" s="15"/>
      <c r="AJ128" s="15"/>
      <c r="AO128" s="15"/>
      <c r="AT128" s="15"/>
      <c r="AY128" s="15"/>
    </row>
    <row r="129" ht="15.75" customHeight="1">
      <c r="AE129" s="15"/>
      <c r="AJ129" s="15"/>
      <c r="AO129" s="15"/>
      <c r="AT129" s="15"/>
      <c r="AY129" s="15"/>
    </row>
    <row r="130" ht="15.75" customHeight="1">
      <c r="AE130" s="15"/>
      <c r="AJ130" s="15"/>
      <c r="AO130" s="15"/>
      <c r="AT130" s="15"/>
      <c r="AY130" s="15"/>
    </row>
    <row r="131" ht="15.75" customHeight="1">
      <c r="AE131" s="15"/>
      <c r="AJ131" s="15"/>
      <c r="AO131" s="15"/>
      <c r="AT131" s="15"/>
      <c r="AY131" s="15"/>
    </row>
    <row r="132" ht="15.75" customHeight="1">
      <c r="AE132" s="15"/>
      <c r="AJ132" s="15"/>
      <c r="AO132" s="15"/>
      <c r="AT132" s="15"/>
      <c r="AY132" s="15"/>
    </row>
    <row r="133" ht="15.75" customHeight="1">
      <c r="AE133" s="15"/>
      <c r="AJ133" s="15"/>
      <c r="AO133" s="15"/>
      <c r="AT133" s="15"/>
      <c r="AY133" s="15"/>
    </row>
    <row r="134" ht="15.75" customHeight="1">
      <c r="AE134" s="15"/>
      <c r="AJ134" s="15"/>
      <c r="AO134" s="15"/>
      <c r="AT134" s="15"/>
      <c r="AY134" s="15"/>
    </row>
    <row r="135" ht="15.75" customHeight="1">
      <c r="AE135" s="15"/>
      <c r="AJ135" s="15"/>
      <c r="AO135" s="15"/>
      <c r="AT135" s="15"/>
      <c r="AY135" s="15"/>
    </row>
    <row r="136" ht="15.75" customHeight="1">
      <c r="AE136" s="15"/>
      <c r="AJ136" s="15"/>
      <c r="AO136" s="15"/>
      <c r="AT136" s="15"/>
      <c r="AY136" s="15"/>
    </row>
    <row r="137" ht="15.75" customHeight="1">
      <c r="AE137" s="15"/>
      <c r="AJ137" s="15"/>
      <c r="AO137" s="15"/>
      <c r="AT137" s="15"/>
      <c r="AY137" s="15"/>
    </row>
    <row r="138" ht="15.75" customHeight="1">
      <c r="AE138" s="15"/>
      <c r="AJ138" s="15"/>
      <c r="AO138" s="15"/>
      <c r="AT138" s="15"/>
      <c r="AY138" s="15"/>
    </row>
    <row r="139" ht="15.75" customHeight="1">
      <c r="AE139" s="15"/>
      <c r="AJ139" s="15"/>
      <c r="AO139" s="15"/>
      <c r="AT139" s="15"/>
      <c r="AY139" s="15"/>
    </row>
    <row r="140" ht="15.75" customHeight="1">
      <c r="AE140" s="15"/>
      <c r="AJ140" s="15"/>
      <c r="AO140" s="15"/>
      <c r="AT140" s="15"/>
      <c r="AY140" s="15"/>
    </row>
    <row r="141" ht="15.75" customHeight="1">
      <c r="AE141" s="15"/>
      <c r="AJ141" s="15"/>
      <c r="AO141" s="15"/>
      <c r="AT141" s="15"/>
      <c r="AY141" s="15"/>
    </row>
    <row r="142" ht="15.75" customHeight="1">
      <c r="AE142" s="15"/>
      <c r="AJ142" s="15"/>
      <c r="AO142" s="15"/>
      <c r="AT142" s="15"/>
      <c r="AY142" s="15"/>
    </row>
    <row r="143" ht="15.75" customHeight="1">
      <c r="AE143" s="15"/>
      <c r="AJ143" s="15"/>
      <c r="AO143" s="15"/>
      <c r="AT143" s="15"/>
      <c r="AY143" s="15"/>
    </row>
    <row r="144" ht="15.75" customHeight="1">
      <c r="AE144" s="15"/>
      <c r="AJ144" s="15"/>
      <c r="AO144" s="15"/>
      <c r="AT144" s="15"/>
      <c r="AY144" s="15"/>
    </row>
    <row r="145" ht="15.75" customHeight="1">
      <c r="AE145" s="15"/>
      <c r="AJ145" s="15"/>
      <c r="AO145" s="15"/>
      <c r="AT145" s="15"/>
      <c r="AY145" s="15"/>
    </row>
    <row r="146" ht="15.75" customHeight="1">
      <c r="AE146" s="15"/>
      <c r="AJ146" s="15"/>
      <c r="AO146" s="15"/>
      <c r="AT146" s="15"/>
      <c r="AY146" s="15"/>
    </row>
    <row r="147" ht="15.75" customHeight="1">
      <c r="AE147" s="15"/>
      <c r="AJ147" s="15"/>
      <c r="AO147" s="15"/>
      <c r="AT147" s="15"/>
      <c r="AY147" s="15"/>
    </row>
    <row r="148" ht="15.75" customHeight="1">
      <c r="AE148" s="15"/>
      <c r="AJ148" s="15"/>
      <c r="AO148" s="15"/>
      <c r="AT148" s="15"/>
      <c r="AY148" s="15"/>
    </row>
    <row r="149" ht="15.75" customHeight="1">
      <c r="AE149" s="15"/>
      <c r="AJ149" s="15"/>
      <c r="AO149" s="15"/>
      <c r="AT149" s="15"/>
      <c r="AY149" s="15"/>
    </row>
    <row r="150" ht="15.75" customHeight="1">
      <c r="AE150" s="15"/>
      <c r="AJ150" s="15"/>
      <c r="AO150" s="15"/>
      <c r="AT150" s="15"/>
      <c r="AY150" s="15"/>
    </row>
    <row r="151" ht="15.75" customHeight="1">
      <c r="AE151" s="15"/>
      <c r="AJ151" s="15"/>
      <c r="AO151" s="15"/>
      <c r="AT151" s="15"/>
      <c r="AY151" s="15"/>
    </row>
    <row r="152" ht="15.75" customHeight="1">
      <c r="AE152" s="15"/>
      <c r="AJ152" s="15"/>
      <c r="AO152" s="15"/>
      <c r="AT152" s="15"/>
      <c r="AY152" s="15"/>
    </row>
    <row r="153" ht="15.75" customHeight="1">
      <c r="AE153" s="15"/>
      <c r="AJ153" s="15"/>
      <c r="AO153" s="15"/>
      <c r="AT153" s="15"/>
      <c r="AY153" s="15"/>
    </row>
    <row r="154" ht="15.75" customHeight="1">
      <c r="AE154" s="15"/>
      <c r="AJ154" s="15"/>
      <c r="AO154" s="15"/>
      <c r="AT154" s="15"/>
      <c r="AY154" s="15"/>
    </row>
    <row r="155" ht="15.75" customHeight="1">
      <c r="AE155" s="15"/>
      <c r="AJ155" s="15"/>
      <c r="AO155" s="15"/>
      <c r="AT155" s="15"/>
      <c r="AY155" s="15"/>
    </row>
    <row r="156" ht="15.75" customHeight="1">
      <c r="AE156" s="15"/>
      <c r="AJ156" s="15"/>
      <c r="AO156" s="15"/>
      <c r="AT156" s="15"/>
      <c r="AY156" s="15"/>
    </row>
    <row r="157" ht="15.75" customHeight="1">
      <c r="AE157" s="15"/>
      <c r="AJ157" s="15"/>
      <c r="AO157" s="15"/>
      <c r="AT157" s="15"/>
      <c r="AY157" s="15"/>
    </row>
    <row r="158" ht="15.75" customHeight="1">
      <c r="AE158" s="15"/>
      <c r="AJ158" s="15"/>
      <c r="AO158" s="15"/>
      <c r="AT158" s="15"/>
      <c r="AY158" s="15"/>
    </row>
    <row r="159" ht="15.75" customHeight="1">
      <c r="AE159" s="15"/>
      <c r="AJ159" s="15"/>
      <c r="AO159" s="15"/>
      <c r="AT159" s="15"/>
      <c r="AY159" s="15"/>
    </row>
    <row r="160" ht="15.75" customHeight="1">
      <c r="AE160" s="15"/>
      <c r="AJ160" s="15"/>
      <c r="AO160" s="15"/>
      <c r="AT160" s="15"/>
      <c r="AY160" s="15"/>
    </row>
    <row r="161" ht="15.75" customHeight="1">
      <c r="AE161" s="15"/>
      <c r="AJ161" s="15"/>
      <c r="AO161" s="15"/>
      <c r="AT161" s="15"/>
      <c r="AY161" s="15"/>
    </row>
    <row r="162" ht="15.75" customHeight="1">
      <c r="AE162" s="15"/>
      <c r="AJ162" s="15"/>
      <c r="AO162" s="15"/>
      <c r="AT162" s="15"/>
      <c r="AY162" s="15"/>
    </row>
    <row r="163" ht="15.75" customHeight="1">
      <c r="AE163" s="15"/>
      <c r="AJ163" s="15"/>
      <c r="AO163" s="15"/>
      <c r="AT163" s="15"/>
      <c r="AY163" s="15"/>
    </row>
    <row r="164" ht="15.75" customHeight="1">
      <c r="AE164" s="15"/>
      <c r="AJ164" s="15"/>
      <c r="AO164" s="15"/>
      <c r="AT164" s="15"/>
      <c r="AY164" s="15"/>
    </row>
    <row r="165" ht="15.75" customHeight="1">
      <c r="AE165" s="15"/>
      <c r="AJ165" s="15"/>
      <c r="AO165" s="15"/>
      <c r="AT165" s="15"/>
      <c r="AY165" s="15"/>
    </row>
    <row r="166" ht="15.75" customHeight="1">
      <c r="AE166" s="15"/>
      <c r="AJ166" s="15"/>
      <c r="AO166" s="15"/>
      <c r="AT166" s="15"/>
      <c r="AY166" s="15"/>
    </row>
    <row r="167" ht="15.75" customHeight="1">
      <c r="AE167" s="15"/>
      <c r="AJ167" s="15"/>
      <c r="AO167" s="15"/>
      <c r="AT167" s="15"/>
      <c r="AY167" s="15"/>
    </row>
    <row r="168" ht="15.75" customHeight="1">
      <c r="AE168" s="15"/>
      <c r="AJ168" s="15"/>
      <c r="AO168" s="15"/>
      <c r="AT168" s="15"/>
      <c r="AY168" s="15"/>
    </row>
    <row r="169" ht="15.75" customHeight="1">
      <c r="AE169" s="15"/>
      <c r="AJ169" s="15"/>
      <c r="AO169" s="15"/>
      <c r="AT169" s="15"/>
      <c r="AY169" s="15"/>
    </row>
    <row r="170" ht="15.75" customHeight="1">
      <c r="AE170" s="15"/>
      <c r="AJ170" s="15"/>
      <c r="AO170" s="15"/>
      <c r="AT170" s="15"/>
      <c r="AY170" s="15"/>
    </row>
    <row r="171" ht="15.75" customHeight="1">
      <c r="AE171" s="15"/>
      <c r="AJ171" s="15"/>
      <c r="AO171" s="15"/>
      <c r="AT171" s="15"/>
      <c r="AY171" s="15"/>
    </row>
    <row r="172" ht="15.75" customHeight="1">
      <c r="AE172" s="15"/>
      <c r="AJ172" s="15"/>
      <c r="AO172" s="15"/>
      <c r="AT172" s="15"/>
      <c r="AY172" s="15"/>
    </row>
    <row r="173" ht="15.75" customHeight="1">
      <c r="AE173" s="15"/>
      <c r="AJ173" s="15"/>
      <c r="AO173" s="15"/>
      <c r="AT173" s="15"/>
      <c r="AY173" s="15"/>
    </row>
    <row r="174" ht="15.75" customHeight="1">
      <c r="AE174" s="15"/>
      <c r="AJ174" s="15"/>
      <c r="AO174" s="15"/>
      <c r="AT174" s="15"/>
      <c r="AY174" s="15"/>
    </row>
    <row r="175" ht="15.75" customHeight="1">
      <c r="AE175" s="15"/>
      <c r="AJ175" s="15"/>
      <c r="AO175" s="15"/>
      <c r="AT175" s="15"/>
      <c r="AY175" s="15"/>
    </row>
    <row r="176" ht="15.75" customHeight="1">
      <c r="AE176" s="15"/>
      <c r="AJ176" s="15"/>
      <c r="AO176" s="15"/>
      <c r="AT176" s="15"/>
      <c r="AY176" s="15"/>
    </row>
    <row r="177" ht="15.75" customHeight="1">
      <c r="AE177" s="15"/>
      <c r="AJ177" s="15"/>
      <c r="AO177" s="15"/>
      <c r="AT177" s="15"/>
      <c r="AY177" s="15"/>
    </row>
    <row r="178" ht="15.75" customHeight="1">
      <c r="AE178" s="15"/>
      <c r="AJ178" s="15"/>
      <c r="AO178" s="15"/>
      <c r="AT178" s="15"/>
      <c r="AY178" s="15"/>
    </row>
    <row r="179" ht="15.75" customHeight="1">
      <c r="AE179" s="15"/>
      <c r="AJ179" s="15"/>
      <c r="AO179" s="15"/>
      <c r="AT179" s="15"/>
      <c r="AY179" s="15"/>
    </row>
    <row r="180" ht="15.75" customHeight="1">
      <c r="AE180" s="15"/>
      <c r="AJ180" s="15"/>
      <c r="AO180" s="15"/>
      <c r="AT180" s="15"/>
      <c r="AY180" s="15"/>
    </row>
    <row r="181" ht="15.75" customHeight="1">
      <c r="AE181" s="15"/>
      <c r="AJ181" s="15"/>
      <c r="AO181" s="15"/>
      <c r="AT181" s="15"/>
      <c r="AY181" s="15"/>
    </row>
    <row r="182" ht="15.75" customHeight="1">
      <c r="AE182" s="15"/>
      <c r="AJ182" s="15"/>
      <c r="AO182" s="15"/>
      <c r="AT182" s="15"/>
      <c r="AY182" s="15"/>
    </row>
    <row r="183" ht="15.75" customHeight="1">
      <c r="AE183" s="15"/>
      <c r="AJ183" s="15"/>
      <c r="AO183" s="15"/>
      <c r="AT183" s="15"/>
      <c r="AY183" s="15"/>
    </row>
    <row r="184" ht="15.75" customHeight="1">
      <c r="AE184" s="15"/>
      <c r="AJ184" s="15"/>
      <c r="AO184" s="15"/>
      <c r="AT184" s="15"/>
      <c r="AY184" s="15"/>
    </row>
    <row r="185" ht="15.75" customHeight="1">
      <c r="AE185" s="15"/>
      <c r="AJ185" s="15"/>
      <c r="AO185" s="15"/>
      <c r="AT185" s="15"/>
      <c r="AY185" s="15"/>
    </row>
    <row r="186" ht="15.75" customHeight="1">
      <c r="AE186" s="15"/>
      <c r="AJ186" s="15"/>
      <c r="AO186" s="15"/>
      <c r="AT186" s="15"/>
      <c r="AY186" s="15"/>
    </row>
    <row r="187" ht="15.75" customHeight="1">
      <c r="AE187" s="15"/>
      <c r="AJ187" s="15"/>
      <c r="AO187" s="15"/>
      <c r="AT187" s="15"/>
      <c r="AY187" s="15"/>
    </row>
    <row r="188" ht="15.75" customHeight="1">
      <c r="AE188" s="15"/>
      <c r="AJ188" s="15"/>
      <c r="AO188" s="15"/>
      <c r="AT188" s="15"/>
      <c r="AY188" s="15"/>
    </row>
    <row r="189" ht="15.75" customHeight="1">
      <c r="AE189" s="15"/>
      <c r="AJ189" s="15"/>
      <c r="AO189" s="15"/>
      <c r="AT189" s="15"/>
      <c r="AY189" s="15"/>
    </row>
    <row r="190" ht="15.75" customHeight="1">
      <c r="AE190" s="15"/>
      <c r="AJ190" s="15"/>
      <c r="AO190" s="15"/>
      <c r="AT190" s="15"/>
      <c r="AY190" s="15"/>
    </row>
    <row r="191" ht="15.75" customHeight="1">
      <c r="AE191" s="15"/>
      <c r="AJ191" s="15"/>
      <c r="AO191" s="15"/>
      <c r="AT191" s="15"/>
      <c r="AY191" s="15"/>
    </row>
    <row r="192" ht="15.75" customHeight="1">
      <c r="AE192" s="15"/>
      <c r="AJ192" s="15"/>
      <c r="AO192" s="15"/>
      <c r="AT192" s="15"/>
      <c r="AY192" s="15"/>
    </row>
    <row r="193" ht="15.75" customHeight="1">
      <c r="AE193" s="15"/>
      <c r="AJ193" s="15"/>
      <c r="AO193" s="15"/>
      <c r="AT193" s="15"/>
      <c r="AY193" s="15"/>
    </row>
    <row r="194" ht="15.75" customHeight="1">
      <c r="AE194" s="15"/>
      <c r="AJ194" s="15"/>
      <c r="AO194" s="15"/>
      <c r="AT194" s="15"/>
      <c r="AY194" s="15"/>
    </row>
    <row r="195" ht="15.75" customHeight="1">
      <c r="AE195" s="15"/>
      <c r="AJ195" s="15"/>
      <c r="AO195" s="15"/>
      <c r="AT195" s="15"/>
      <c r="AY195" s="15"/>
    </row>
    <row r="196" ht="15.75" customHeight="1">
      <c r="AE196" s="15"/>
      <c r="AJ196" s="15"/>
      <c r="AO196" s="15"/>
      <c r="AT196" s="15"/>
      <c r="AY196" s="15"/>
    </row>
    <row r="197" ht="15.75" customHeight="1">
      <c r="AE197" s="15"/>
      <c r="AJ197" s="15"/>
      <c r="AO197" s="15"/>
      <c r="AT197" s="15"/>
      <c r="AY197" s="15"/>
    </row>
    <row r="198" ht="15.75" customHeight="1">
      <c r="AE198" s="15"/>
      <c r="AJ198" s="15"/>
      <c r="AO198" s="15"/>
      <c r="AT198" s="15"/>
      <c r="AY198" s="15"/>
    </row>
    <row r="199" ht="15.75" customHeight="1">
      <c r="AE199" s="15"/>
      <c r="AJ199" s="15"/>
      <c r="AO199" s="15"/>
      <c r="AT199" s="15"/>
      <c r="AY199" s="15"/>
    </row>
    <row r="200" ht="15.75" customHeight="1">
      <c r="AE200" s="15"/>
      <c r="AJ200" s="15"/>
      <c r="AO200" s="15"/>
      <c r="AT200" s="15"/>
      <c r="AY200" s="15"/>
    </row>
    <row r="201" ht="15.75" customHeight="1">
      <c r="AE201" s="15"/>
      <c r="AJ201" s="15"/>
      <c r="AO201" s="15"/>
      <c r="AT201" s="15"/>
      <c r="AY201" s="15"/>
    </row>
    <row r="202" ht="15.75" customHeight="1">
      <c r="AE202" s="15"/>
      <c r="AJ202" s="15"/>
      <c r="AO202" s="15"/>
      <c r="AT202" s="15"/>
      <c r="AY202" s="15"/>
    </row>
    <row r="203" ht="15.75" customHeight="1">
      <c r="AE203" s="15"/>
      <c r="AJ203" s="15"/>
      <c r="AO203" s="15"/>
      <c r="AT203" s="15"/>
      <c r="AY203" s="15"/>
    </row>
    <row r="204" ht="15.75" customHeight="1">
      <c r="AE204" s="15"/>
      <c r="AJ204" s="15"/>
      <c r="AO204" s="15"/>
      <c r="AT204" s="15"/>
      <c r="AY204" s="15"/>
    </row>
    <row r="205" ht="15.75" customHeight="1">
      <c r="AE205" s="15"/>
      <c r="AJ205" s="15"/>
      <c r="AO205" s="15"/>
      <c r="AT205" s="15"/>
      <c r="AY205" s="15"/>
    </row>
    <row r="206" ht="15.75" customHeight="1">
      <c r="AE206" s="15"/>
      <c r="AJ206" s="15"/>
      <c r="AO206" s="15"/>
      <c r="AT206" s="15"/>
      <c r="AY206" s="15"/>
    </row>
    <row r="207" ht="15.75" customHeight="1">
      <c r="AE207" s="15"/>
      <c r="AJ207" s="15"/>
      <c r="AO207" s="15"/>
      <c r="AT207" s="15"/>
      <c r="AY207" s="15"/>
    </row>
    <row r="208" ht="15.75" customHeight="1">
      <c r="AE208" s="15"/>
      <c r="AJ208" s="15"/>
      <c r="AO208" s="15"/>
      <c r="AT208" s="15"/>
      <c r="AY208" s="15"/>
    </row>
    <row r="209" ht="15.75" customHeight="1">
      <c r="AE209" s="15"/>
      <c r="AJ209" s="15"/>
      <c r="AO209" s="15"/>
      <c r="AT209" s="15"/>
      <c r="AY209" s="15"/>
    </row>
    <row r="210" ht="15.75" customHeight="1">
      <c r="AE210" s="15"/>
      <c r="AJ210" s="15"/>
      <c r="AO210" s="15"/>
      <c r="AT210" s="15"/>
      <c r="AY210" s="15"/>
    </row>
    <row r="211" ht="15.75" customHeight="1">
      <c r="AE211" s="15"/>
      <c r="AJ211" s="15"/>
      <c r="AO211" s="15"/>
      <c r="AT211" s="15"/>
      <c r="AY211" s="15"/>
    </row>
    <row r="212" ht="15.75" customHeight="1">
      <c r="AE212" s="15"/>
      <c r="AJ212" s="15"/>
      <c r="AO212" s="15"/>
      <c r="AT212" s="15"/>
      <c r="AY212" s="15"/>
    </row>
    <row r="213" ht="15.75" customHeight="1">
      <c r="AE213" s="15"/>
      <c r="AJ213" s="15"/>
      <c r="AO213" s="15"/>
      <c r="AT213" s="15"/>
      <c r="AY213" s="15"/>
    </row>
    <row r="214" ht="15.75" customHeight="1">
      <c r="AE214" s="15"/>
      <c r="AJ214" s="15"/>
      <c r="AO214" s="15"/>
      <c r="AT214" s="15"/>
      <c r="AY214" s="15"/>
    </row>
    <row r="215" ht="15.75" customHeight="1">
      <c r="AE215" s="15"/>
      <c r="AJ215" s="15"/>
      <c r="AO215" s="15"/>
      <c r="AT215" s="15"/>
      <c r="AY215" s="15"/>
    </row>
    <row r="216" ht="15.75" customHeight="1">
      <c r="AE216" s="15"/>
      <c r="AJ216" s="15"/>
      <c r="AO216" s="15"/>
      <c r="AT216" s="15"/>
      <c r="AY216" s="15"/>
    </row>
    <row r="217" ht="15.75" customHeight="1">
      <c r="AE217" s="15"/>
      <c r="AJ217" s="15"/>
      <c r="AO217" s="15"/>
      <c r="AT217" s="15"/>
      <c r="AY217" s="15"/>
    </row>
    <row r="218" ht="15.75" customHeight="1">
      <c r="AE218" s="15"/>
      <c r="AJ218" s="15"/>
      <c r="AO218" s="15"/>
      <c r="AT218" s="15"/>
      <c r="AY218" s="15"/>
    </row>
    <row r="219" ht="15.75" customHeight="1">
      <c r="AE219" s="15"/>
      <c r="AJ219" s="15"/>
      <c r="AO219" s="15"/>
      <c r="AT219" s="15"/>
      <c r="AY219" s="15"/>
    </row>
    <row r="220" ht="15.75" customHeight="1">
      <c r="AE220" s="15"/>
      <c r="AJ220" s="15"/>
      <c r="AO220" s="15"/>
      <c r="AT220" s="15"/>
      <c r="AY220" s="15"/>
    </row>
    <row r="221" ht="15.75" customHeight="1">
      <c r="AE221" s="15"/>
      <c r="AJ221" s="15"/>
      <c r="AO221" s="15"/>
      <c r="AT221" s="15"/>
      <c r="AY221" s="15"/>
    </row>
    <row r="222" ht="15.75" customHeight="1">
      <c r="AE222" s="15"/>
      <c r="AJ222" s="15"/>
      <c r="AO222" s="15"/>
      <c r="AT222" s="15"/>
      <c r="AY222" s="15"/>
    </row>
    <row r="223" ht="15.75" customHeight="1">
      <c r="AE223" s="15"/>
      <c r="AJ223" s="15"/>
      <c r="AO223" s="15"/>
      <c r="AT223" s="15"/>
      <c r="AY223" s="15"/>
    </row>
    <row r="224" ht="15.75" customHeight="1">
      <c r="AE224" s="15"/>
      <c r="AJ224" s="15"/>
      <c r="AO224" s="15"/>
      <c r="AT224" s="15"/>
      <c r="AY224" s="15"/>
    </row>
    <row r="225" ht="15.75" customHeight="1">
      <c r="AE225" s="15"/>
      <c r="AJ225" s="15"/>
      <c r="AO225" s="15"/>
      <c r="AT225" s="15"/>
      <c r="AY225" s="15"/>
    </row>
    <row r="226" ht="15.75" customHeight="1">
      <c r="AE226" s="15"/>
      <c r="AJ226" s="15"/>
      <c r="AO226" s="15"/>
      <c r="AT226" s="15"/>
      <c r="AY226" s="15"/>
    </row>
    <row r="227" ht="15.75" customHeight="1">
      <c r="AE227" s="15"/>
      <c r="AJ227" s="15"/>
      <c r="AO227" s="15"/>
      <c r="AT227" s="15"/>
      <c r="AY227" s="15"/>
    </row>
    <row r="228" ht="15.75" customHeight="1">
      <c r="AE228" s="15"/>
      <c r="AJ228" s="15"/>
      <c r="AO228" s="15"/>
      <c r="AT228" s="15"/>
      <c r="AY228" s="15"/>
    </row>
    <row r="229" ht="15.75" customHeight="1">
      <c r="AE229" s="15"/>
      <c r="AJ229" s="15"/>
      <c r="AO229" s="15"/>
      <c r="AT229" s="15"/>
      <c r="AY229" s="15"/>
    </row>
    <row r="230" ht="15.75" customHeight="1">
      <c r="AE230" s="15"/>
      <c r="AJ230" s="15"/>
      <c r="AO230" s="15"/>
      <c r="AT230" s="15"/>
      <c r="AY230" s="15"/>
    </row>
    <row r="231" ht="15.75" customHeight="1">
      <c r="AE231" s="15"/>
      <c r="AJ231" s="15"/>
      <c r="AO231" s="15"/>
      <c r="AT231" s="15"/>
      <c r="AY231" s="15"/>
    </row>
    <row r="232" ht="15.75" customHeight="1">
      <c r="AE232" s="15"/>
      <c r="AJ232" s="15"/>
      <c r="AO232" s="15"/>
      <c r="AT232" s="15"/>
      <c r="AY232" s="15"/>
    </row>
    <row r="233" ht="15.75" customHeight="1">
      <c r="AE233" s="15"/>
      <c r="AJ233" s="15"/>
      <c r="AO233" s="15"/>
      <c r="AT233" s="15"/>
      <c r="AY233" s="15"/>
    </row>
    <row r="234" ht="15.75" customHeight="1">
      <c r="AE234" s="15"/>
      <c r="AJ234" s="15"/>
      <c r="AO234" s="15"/>
      <c r="AT234" s="15"/>
      <c r="AY234" s="15"/>
    </row>
    <row r="235" ht="15.75" customHeight="1">
      <c r="AE235" s="15"/>
      <c r="AJ235" s="15"/>
      <c r="AO235" s="15"/>
      <c r="AT235" s="15"/>
      <c r="AY235" s="15"/>
    </row>
    <row r="236" ht="15.75" customHeight="1">
      <c r="AE236" s="15"/>
      <c r="AJ236" s="15"/>
      <c r="AO236" s="15"/>
      <c r="AT236" s="15"/>
      <c r="AY236" s="15"/>
    </row>
    <row r="237" ht="15.75" customHeight="1">
      <c r="AE237" s="15"/>
      <c r="AJ237" s="15"/>
      <c r="AO237" s="15"/>
      <c r="AT237" s="15"/>
      <c r="AY237" s="15"/>
    </row>
    <row r="238" ht="15.75" customHeight="1">
      <c r="AE238" s="15"/>
      <c r="AJ238" s="15"/>
      <c r="AO238" s="15"/>
      <c r="AT238" s="15"/>
      <c r="AY238" s="15"/>
    </row>
    <row r="239" ht="15.75" customHeight="1">
      <c r="AE239" s="15"/>
      <c r="AJ239" s="15"/>
      <c r="AO239" s="15"/>
      <c r="AT239" s="15"/>
      <c r="AY239" s="15"/>
    </row>
    <row r="240" ht="15.75" customHeight="1">
      <c r="AE240" s="15"/>
      <c r="AJ240" s="15"/>
      <c r="AO240" s="15"/>
      <c r="AT240" s="15"/>
      <c r="AY240" s="15"/>
    </row>
    <row r="241" ht="15.75" customHeight="1">
      <c r="AE241" s="15"/>
      <c r="AJ241" s="15"/>
      <c r="AO241" s="15"/>
      <c r="AT241" s="15"/>
      <c r="AY241" s="15"/>
    </row>
    <row r="242" ht="15.75" customHeight="1">
      <c r="AE242" s="15"/>
      <c r="AJ242" s="15"/>
      <c r="AO242" s="15"/>
      <c r="AT242" s="15"/>
      <c r="AY242" s="15"/>
    </row>
    <row r="243" ht="15.75" customHeight="1">
      <c r="AE243" s="15"/>
      <c r="AJ243" s="15"/>
      <c r="AO243" s="15"/>
      <c r="AT243" s="15"/>
      <c r="AY243" s="15"/>
    </row>
    <row r="244" ht="15.75" customHeight="1">
      <c r="AE244" s="15"/>
      <c r="AJ244" s="15"/>
      <c r="AO244" s="15"/>
      <c r="AT244" s="15"/>
      <c r="AY244" s="15"/>
    </row>
    <row r="245" ht="15.75" customHeight="1">
      <c r="AE245" s="15"/>
      <c r="AJ245" s="15"/>
      <c r="AO245" s="15"/>
      <c r="AT245" s="15"/>
      <c r="AY245" s="15"/>
    </row>
    <row r="246" ht="15.75" customHeight="1">
      <c r="AE246" s="15"/>
      <c r="AJ246" s="15"/>
      <c r="AO246" s="15"/>
      <c r="AT246" s="15"/>
      <c r="AY246" s="15"/>
    </row>
    <row r="247" ht="15.75" customHeight="1">
      <c r="AE247" s="15"/>
      <c r="AJ247" s="15"/>
      <c r="AO247" s="15"/>
      <c r="AT247" s="15"/>
      <c r="AY247" s="15"/>
    </row>
    <row r="248" ht="15.75" customHeight="1">
      <c r="AE248" s="15"/>
      <c r="AJ248" s="15"/>
      <c r="AO248" s="15"/>
      <c r="AT248" s="15"/>
      <c r="AY248" s="15"/>
    </row>
    <row r="249" ht="15.75" customHeight="1">
      <c r="AE249" s="15"/>
      <c r="AJ249" s="15"/>
      <c r="AO249" s="15"/>
      <c r="AT249" s="15"/>
      <c r="AY249" s="15"/>
    </row>
    <row r="250" ht="15.75" customHeight="1">
      <c r="AE250" s="15"/>
      <c r="AJ250" s="15"/>
      <c r="AO250" s="15"/>
      <c r="AT250" s="15"/>
      <c r="AY250" s="15"/>
    </row>
    <row r="251" ht="15.75" customHeight="1">
      <c r="AE251" s="15"/>
      <c r="AJ251" s="15"/>
      <c r="AO251" s="15"/>
      <c r="AT251" s="15"/>
      <c r="AY251" s="15"/>
    </row>
    <row r="252" ht="15.75" customHeight="1">
      <c r="AE252" s="15"/>
      <c r="AJ252" s="15"/>
      <c r="AO252" s="15"/>
      <c r="AT252" s="15"/>
      <c r="AY252" s="15"/>
    </row>
    <row r="253" ht="15.75" customHeight="1">
      <c r="AE253" s="15"/>
      <c r="AJ253" s="15"/>
      <c r="AO253" s="15"/>
      <c r="AT253" s="15"/>
      <c r="AY253" s="15"/>
    </row>
    <row r="254" ht="15.75" customHeight="1">
      <c r="AE254" s="15"/>
      <c r="AJ254" s="15"/>
      <c r="AO254" s="15"/>
      <c r="AT254" s="15"/>
      <c r="AY254" s="15"/>
    </row>
    <row r="255" ht="15.75" customHeight="1">
      <c r="AE255" s="15"/>
      <c r="AJ255" s="15"/>
      <c r="AO255" s="15"/>
      <c r="AT255" s="15"/>
      <c r="AY255" s="15"/>
    </row>
    <row r="256" ht="15.75" customHeight="1">
      <c r="AE256" s="15"/>
      <c r="AJ256" s="15"/>
      <c r="AO256" s="15"/>
      <c r="AT256" s="15"/>
      <c r="AY256" s="15"/>
    </row>
    <row r="257" ht="15.75" customHeight="1">
      <c r="AE257" s="15"/>
      <c r="AJ257" s="15"/>
      <c r="AO257" s="15"/>
      <c r="AT257" s="15"/>
      <c r="AY257" s="15"/>
    </row>
    <row r="258" ht="15.75" customHeight="1">
      <c r="AE258" s="15"/>
      <c r="AJ258" s="15"/>
      <c r="AO258" s="15"/>
      <c r="AT258" s="15"/>
      <c r="AY258" s="15"/>
    </row>
    <row r="259" ht="15.75" customHeight="1">
      <c r="AE259" s="15"/>
      <c r="AJ259" s="15"/>
      <c r="AO259" s="15"/>
      <c r="AT259" s="15"/>
      <c r="AY259" s="15"/>
    </row>
    <row r="260" ht="15.75" customHeight="1">
      <c r="AE260" s="15"/>
      <c r="AJ260" s="15"/>
      <c r="AO260" s="15"/>
      <c r="AT260" s="15"/>
      <c r="AY260" s="15"/>
    </row>
    <row r="261" ht="15.75" customHeight="1">
      <c r="AE261" s="15"/>
      <c r="AJ261" s="15"/>
      <c r="AO261" s="15"/>
      <c r="AT261" s="15"/>
      <c r="AY261" s="15"/>
    </row>
    <row r="262" ht="15.75" customHeight="1">
      <c r="AE262" s="15"/>
      <c r="AJ262" s="15"/>
      <c r="AO262" s="15"/>
      <c r="AT262" s="15"/>
      <c r="AY262" s="15"/>
    </row>
    <row r="263" ht="15.75" customHeight="1">
      <c r="AE263" s="15"/>
      <c r="AJ263" s="15"/>
      <c r="AO263" s="15"/>
      <c r="AT263" s="15"/>
      <c r="AY263" s="15"/>
    </row>
    <row r="264" ht="15.75" customHeight="1">
      <c r="AE264" s="15"/>
      <c r="AJ264" s="15"/>
      <c r="AO264" s="15"/>
      <c r="AT264" s="15"/>
      <c r="AY264" s="15"/>
    </row>
    <row r="265" ht="15.75" customHeight="1">
      <c r="AE265" s="15"/>
      <c r="AJ265" s="15"/>
      <c r="AO265" s="15"/>
      <c r="AT265" s="15"/>
      <c r="AY265" s="15"/>
    </row>
    <row r="266" ht="15.75" customHeight="1">
      <c r="AE266" s="15"/>
      <c r="AJ266" s="15"/>
      <c r="AO266" s="15"/>
      <c r="AT266" s="15"/>
      <c r="AY266" s="15"/>
    </row>
    <row r="267" ht="15.75" customHeight="1">
      <c r="AE267" s="15"/>
      <c r="AJ267" s="15"/>
      <c r="AO267" s="15"/>
      <c r="AT267" s="15"/>
      <c r="AY267" s="15"/>
    </row>
    <row r="268" ht="15.75" customHeight="1">
      <c r="AE268" s="15"/>
      <c r="AJ268" s="15"/>
      <c r="AO268" s="15"/>
      <c r="AT268" s="15"/>
      <c r="AY268" s="15"/>
    </row>
    <row r="269" ht="15.75" customHeight="1">
      <c r="AE269" s="15"/>
      <c r="AJ269" s="15"/>
      <c r="AO269" s="15"/>
      <c r="AT269" s="15"/>
      <c r="AY269" s="15"/>
    </row>
    <row r="270" ht="15.75" customHeight="1">
      <c r="AE270" s="15"/>
      <c r="AJ270" s="15"/>
      <c r="AO270" s="15"/>
      <c r="AT270" s="15"/>
      <c r="AY270" s="15"/>
    </row>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38.0"/>
  </cols>
  <sheetData>
    <row r="1" ht="15.75" customHeight="1">
      <c r="A1" s="1" t="s">
        <v>162</v>
      </c>
      <c r="B1" s="13">
        <f>'Assumptions and Control Panel'!K2</f>
        <v>0.000000001862645149</v>
      </c>
      <c r="C1" s="14"/>
      <c r="D1" s="14"/>
      <c r="E1" s="14"/>
      <c r="F1" s="14"/>
      <c r="G1" s="14"/>
      <c r="H1" s="1" t="s">
        <v>163</v>
      </c>
    </row>
    <row r="2" ht="15.75" customHeight="1">
      <c r="A2" s="1" t="s">
        <v>164</v>
      </c>
      <c r="B2" s="64">
        <v>2019.0</v>
      </c>
      <c r="C2" s="64">
        <v>2020.0</v>
      </c>
      <c r="D2" s="64">
        <v>2021.0</v>
      </c>
      <c r="E2" s="64">
        <v>2022.0</v>
      </c>
      <c r="F2" s="64">
        <v>2023.0</v>
      </c>
      <c r="G2" s="64">
        <v>2024.0</v>
      </c>
      <c r="H2" s="1">
        <v>2025.0</v>
      </c>
      <c r="I2" s="1">
        <v>2026.0</v>
      </c>
      <c r="J2" s="1">
        <v>2027.0</v>
      </c>
      <c r="K2" s="1">
        <v>2028.0</v>
      </c>
      <c r="L2" s="1">
        <v>2029.0</v>
      </c>
      <c r="M2" s="1">
        <v>2030.0</v>
      </c>
      <c r="N2" s="1">
        <v>2031.0</v>
      </c>
      <c r="O2" s="1">
        <v>2032.0</v>
      </c>
      <c r="P2" s="1">
        <v>2033.0</v>
      </c>
      <c r="Q2" s="1">
        <v>2034.0</v>
      </c>
    </row>
    <row r="3" ht="15.75" customHeight="1">
      <c r="A3" s="1" t="s">
        <v>165</v>
      </c>
      <c r="B3" s="13" t="s">
        <v>110</v>
      </c>
      <c r="C3" s="13">
        <v>1.0</v>
      </c>
      <c r="D3" s="21"/>
      <c r="E3" s="21"/>
      <c r="F3" s="21"/>
      <c r="G3" s="21"/>
    </row>
    <row r="4" ht="15.75" customHeight="1">
      <c r="A4" s="3" t="s">
        <v>99</v>
      </c>
      <c r="B4" s="22">
        <v>219401.0</v>
      </c>
      <c r="C4" s="22">
        <v>436323.0</v>
      </c>
      <c r="D4" s="23">
        <v>804670.0</v>
      </c>
      <c r="E4" s="23">
        <v>1359537.0</v>
      </c>
      <c r="F4" s="23">
        <v>2111660.0</v>
      </c>
      <c r="G4" s="23">
        <v>2870557.0</v>
      </c>
      <c r="H4" s="14">
        <f>'Revenue Model'!AE4</f>
        <v>3732634.622</v>
      </c>
      <c r="I4" s="14">
        <f>'Revenue Model'!AJ4</f>
        <v>4734487.817</v>
      </c>
      <c r="J4" s="14">
        <f>'Revenue Model'!AO4</f>
        <v>6143111.219</v>
      </c>
      <c r="K4" s="14">
        <f>'Revenue Model'!AT4</f>
        <v>7785569.084</v>
      </c>
      <c r="L4" s="14">
        <f>'Revenue Model'!AY4</f>
        <v>9573012.145</v>
      </c>
    </row>
    <row r="5" ht="15.75" customHeight="1">
      <c r="A5" s="3" t="s">
        <v>134</v>
      </c>
      <c r="B5" s="22">
        <v>30423.0</v>
      </c>
      <c r="C5" s="22">
        <v>45090.0</v>
      </c>
      <c r="D5" s="23">
        <v>69768.0</v>
      </c>
      <c r="E5" s="23">
        <v>92057.0</v>
      </c>
      <c r="F5" s="23">
        <v>129576.0</v>
      </c>
      <c r="G5" s="23">
        <v>184998.0</v>
      </c>
      <c r="H5" s="14">
        <f>'Revenue Model'!AE7</f>
        <v>189855.4035</v>
      </c>
      <c r="I5" s="14">
        <f>'Revenue Model'!AJ7</f>
        <v>362720.3093</v>
      </c>
      <c r="J5" s="14">
        <f>'Revenue Model'!AO7</f>
        <v>529475.296</v>
      </c>
      <c r="K5" s="14">
        <f>'Revenue Model'!AT7</f>
        <v>595929.1103</v>
      </c>
      <c r="L5" s="14">
        <f>'Revenue Model'!AY7</f>
        <v>670723.4638</v>
      </c>
    </row>
    <row r="6" ht="15.75" customHeight="1">
      <c r="A6" s="1" t="s">
        <v>13</v>
      </c>
      <c r="B6" s="33">
        <v>249824.0</v>
      </c>
      <c r="C6" s="33">
        <v>481413.0</v>
      </c>
      <c r="D6" s="34">
        <v>874438.0</v>
      </c>
      <c r="E6" s="34">
        <v>1451594.0</v>
      </c>
      <c r="F6" s="34">
        <v>2241236.0</v>
      </c>
      <c r="G6" s="34">
        <v>3055555.0</v>
      </c>
      <c r="H6" s="13">
        <f t="shared" ref="H6:L6" si="1">H4+H5</f>
        <v>3922490.025</v>
      </c>
      <c r="I6" s="13">
        <f t="shared" si="1"/>
        <v>5097208.127</v>
      </c>
      <c r="J6" s="13">
        <f t="shared" si="1"/>
        <v>6672586.515</v>
      </c>
      <c r="K6" s="13">
        <f t="shared" si="1"/>
        <v>8381498.194</v>
      </c>
      <c r="L6" s="13">
        <f t="shared" si="1"/>
        <v>10243735.61</v>
      </c>
      <c r="M6" s="1"/>
      <c r="N6" s="1"/>
      <c r="O6" s="1"/>
      <c r="P6" s="1"/>
      <c r="Q6" s="1"/>
      <c r="R6" s="1"/>
      <c r="S6" s="1"/>
      <c r="T6" s="1"/>
      <c r="U6" s="1"/>
      <c r="V6" s="1"/>
      <c r="W6" s="1"/>
      <c r="X6" s="1"/>
    </row>
    <row r="7" ht="15.75" customHeight="1">
      <c r="A7" s="61" t="s">
        <v>166</v>
      </c>
      <c r="B7" s="25"/>
      <c r="C7" s="32">
        <f t="shared" ref="C7:L7" si="2">C6/B6-1</f>
        <v>0.9270086141</v>
      </c>
      <c r="D7" s="32">
        <f t="shared" si="2"/>
        <v>0.8163988093</v>
      </c>
      <c r="E7" s="32">
        <f t="shared" si="2"/>
        <v>0.6600307855</v>
      </c>
      <c r="F7" s="32">
        <f t="shared" si="2"/>
        <v>0.5439826839</v>
      </c>
      <c r="G7" s="32">
        <f t="shared" si="2"/>
        <v>0.3633347849</v>
      </c>
      <c r="H7" s="32">
        <f t="shared" si="2"/>
        <v>0.2837242417</v>
      </c>
      <c r="I7" s="32">
        <f t="shared" si="2"/>
        <v>0.2994827504</v>
      </c>
      <c r="J7" s="32">
        <f t="shared" si="2"/>
        <v>0.3090669146</v>
      </c>
      <c r="K7" s="32">
        <f t="shared" si="2"/>
        <v>0.2561093326</v>
      </c>
      <c r="L7" s="32">
        <f t="shared" si="2"/>
        <v>0.2221843125</v>
      </c>
      <c r="M7" s="61"/>
      <c r="N7" s="61"/>
      <c r="O7" s="61"/>
      <c r="P7" s="61"/>
      <c r="Q7" s="61"/>
      <c r="R7" s="61"/>
      <c r="S7" s="61"/>
      <c r="T7" s="61"/>
      <c r="U7" s="61"/>
      <c r="V7" s="61"/>
      <c r="W7" s="61"/>
      <c r="X7" s="61"/>
    </row>
    <row r="8" ht="15.75" customHeight="1">
      <c r="B8" s="22"/>
      <c r="C8" s="22"/>
      <c r="D8" s="22"/>
      <c r="E8" s="22"/>
      <c r="F8" s="22"/>
      <c r="G8" s="22"/>
      <c r="H8" s="14"/>
      <c r="I8" s="14"/>
      <c r="J8" s="14"/>
      <c r="K8" s="14"/>
      <c r="L8" s="2"/>
    </row>
    <row r="9" ht="15.75" customHeight="1">
      <c r="A9" s="1" t="s">
        <v>135</v>
      </c>
      <c r="B9" s="13" t="s">
        <v>110</v>
      </c>
      <c r="C9" s="13">
        <v>1.0</v>
      </c>
      <c r="D9" s="65"/>
      <c r="E9" s="65"/>
      <c r="F9" s="65"/>
      <c r="G9" s="65"/>
      <c r="H9" s="14"/>
      <c r="I9" s="14"/>
      <c r="J9" s="14"/>
      <c r="K9" s="14"/>
      <c r="L9" s="14"/>
    </row>
    <row r="10" ht="15.75" customHeight="1">
      <c r="A10" s="3" t="s">
        <v>99</v>
      </c>
      <c r="B10" s="22">
        <v>69208.0</v>
      </c>
      <c r="C10" s="22">
        <v>112474.0</v>
      </c>
      <c r="D10" s="23">
        <v>185212.0</v>
      </c>
      <c r="E10" s="23">
        <v>321904.0</v>
      </c>
      <c r="F10" s="23">
        <v>511684.0</v>
      </c>
      <c r="G10" s="23">
        <v>630745.0</v>
      </c>
      <c r="H10" s="14">
        <f t="shared" ref="H10:L10" si="3">H4*B$51</f>
        <v>746526.9243</v>
      </c>
      <c r="I10" s="14">
        <f t="shared" si="3"/>
        <v>899552.6853</v>
      </c>
      <c r="J10" s="14">
        <f t="shared" si="3"/>
        <v>1105760.019</v>
      </c>
      <c r="K10" s="14">
        <f t="shared" si="3"/>
        <v>1323546.744</v>
      </c>
      <c r="L10" s="14">
        <f t="shared" si="3"/>
        <v>1627412.065</v>
      </c>
      <c r="M10" s="14">
        <f>L4*0.21-L10</f>
        <v>382920.4858</v>
      </c>
    </row>
    <row r="11" ht="15.75" customHeight="1">
      <c r="A11" s="3" t="s">
        <v>134</v>
      </c>
      <c r="B11" s="22">
        <v>18030.0</v>
      </c>
      <c r="C11" s="22">
        <v>29153.0</v>
      </c>
      <c r="D11" s="23">
        <v>44333.0</v>
      </c>
      <c r="E11" s="23">
        <v>61317.0</v>
      </c>
      <c r="F11" s="23">
        <v>89547.0</v>
      </c>
      <c r="G11" s="23">
        <v>124978.0</v>
      </c>
      <c r="H11" s="14">
        <f t="shared" ref="H11:L11" si="4">H5*$B59</f>
        <v>131663.0977</v>
      </c>
      <c r="I11" s="14">
        <f t="shared" si="4"/>
        <v>251543.4307</v>
      </c>
      <c r="J11" s="14">
        <f t="shared" si="4"/>
        <v>367186.5871</v>
      </c>
      <c r="K11" s="14">
        <f t="shared" si="4"/>
        <v>413271.7387</v>
      </c>
      <c r="L11" s="14">
        <f t="shared" si="4"/>
        <v>465140.9828</v>
      </c>
    </row>
    <row r="12" ht="15.75" customHeight="1">
      <c r="A12" s="3" t="s">
        <v>167</v>
      </c>
      <c r="B12" s="22">
        <v>87238.0</v>
      </c>
      <c r="C12" s="22">
        <v>141627.0</v>
      </c>
      <c r="D12" s="23">
        <v>229545.0</v>
      </c>
      <c r="E12" s="23">
        <v>383221.0</v>
      </c>
      <c r="F12" s="23">
        <v>601231.0</v>
      </c>
      <c r="G12" s="23">
        <v>755723.0</v>
      </c>
      <c r="H12" s="14">
        <f t="shared" ref="H12:L12" si="5">H10+H11</f>
        <v>878190.0221</v>
      </c>
      <c r="I12" s="14">
        <f t="shared" si="5"/>
        <v>1151096.116</v>
      </c>
      <c r="J12" s="14">
        <f t="shared" si="5"/>
        <v>1472946.607</v>
      </c>
      <c r="K12" s="14">
        <f t="shared" si="5"/>
        <v>1736818.483</v>
      </c>
      <c r="L12" s="14">
        <f t="shared" si="5"/>
        <v>2092553.047</v>
      </c>
    </row>
    <row r="13" ht="15.75" customHeight="1">
      <c r="A13" s="1" t="s">
        <v>168</v>
      </c>
      <c r="B13" s="33">
        <v>162586.0</v>
      </c>
      <c r="C13" s="33">
        <v>339786.0</v>
      </c>
      <c r="D13" s="34">
        <v>644893.0</v>
      </c>
      <c r="E13" s="34">
        <v>1068373.0</v>
      </c>
      <c r="F13" s="34">
        <v>1640005.0</v>
      </c>
      <c r="G13" s="34">
        <v>2299832.0</v>
      </c>
      <c r="H13" s="13">
        <f t="shared" ref="H13:L13" si="6">H6-H12</f>
        <v>3044300.003</v>
      </c>
      <c r="I13" s="13">
        <f t="shared" si="6"/>
        <v>3946112.011</v>
      </c>
      <c r="J13" s="13">
        <f t="shared" si="6"/>
        <v>5199639.909</v>
      </c>
      <c r="K13" s="13">
        <f t="shared" si="6"/>
        <v>6644679.711</v>
      </c>
      <c r="L13" s="13">
        <f t="shared" si="6"/>
        <v>8151182.561</v>
      </c>
      <c r="M13" s="1"/>
      <c r="N13" s="1"/>
      <c r="O13" s="1"/>
      <c r="P13" s="1"/>
      <c r="Q13" s="1"/>
      <c r="R13" s="1"/>
      <c r="S13" s="1"/>
      <c r="T13" s="1"/>
      <c r="U13" s="1"/>
      <c r="V13" s="1"/>
      <c r="W13" s="1"/>
      <c r="X13" s="1"/>
    </row>
    <row r="14" ht="15.75" customHeight="1">
      <c r="B14" s="22"/>
      <c r="C14" s="22"/>
      <c r="D14" s="22"/>
      <c r="E14" s="22"/>
      <c r="F14" s="22"/>
      <c r="G14" s="22"/>
      <c r="H14" s="14"/>
      <c r="I14" s="14"/>
      <c r="J14" s="66"/>
      <c r="K14" s="14"/>
      <c r="L14" s="14"/>
    </row>
    <row r="15" ht="15.75" customHeight="1">
      <c r="A15" s="1" t="s">
        <v>142</v>
      </c>
      <c r="B15" s="13" t="s">
        <v>110</v>
      </c>
      <c r="C15" s="13">
        <v>1.0</v>
      </c>
      <c r="D15" s="65"/>
      <c r="E15" s="65"/>
      <c r="F15" s="65"/>
      <c r="G15" s="65"/>
      <c r="H15" s="2"/>
      <c r="I15" s="2"/>
      <c r="J15" s="2"/>
      <c r="K15" s="2"/>
      <c r="L15" s="2"/>
    </row>
    <row r="16" ht="15.75" customHeight="1">
      <c r="A16" s="3" t="s">
        <v>146</v>
      </c>
      <c r="B16" s="22">
        <v>172682.0</v>
      </c>
      <c r="C16" s="22">
        <v>266595.0</v>
      </c>
      <c r="D16" s="23">
        <v>401316.0</v>
      </c>
      <c r="E16" s="23">
        <v>616546.0</v>
      </c>
      <c r="F16" s="23">
        <v>904409.0</v>
      </c>
      <c r="G16" s="23">
        <v>1140566.0</v>
      </c>
      <c r="H16" s="14">
        <f t="shared" ref="H16:L16" si="7">H6*B$67</f>
        <v>1353259.059</v>
      </c>
      <c r="I16" s="14">
        <f t="shared" si="7"/>
        <v>1733050.763</v>
      </c>
      <c r="J16" s="14">
        <f t="shared" si="7"/>
        <v>2235316.483</v>
      </c>
      <c r="K16" s="14">
        <f t="shared" si="7"/>
        <v>2807801.895</v>
      </c>
      <c r="L16" s="14">
        <f t="shared" si="7"/>
        <v>3380432.751</v>
      </c>
    </row>
    <row r="17" ht="15.75" customHeight="1">
      <c r="A17" s="3" t="s">
        <v>149</v>
      </c>
      <c r="B17" s="22">
        <v>84551.0</v>
      </c>
      <c r="C17" s="22">
        <v>130188.0</v>
      </c>
      <c r="D17" s="23">
        <v>214670.0</v>
      </c>
      <c r="E17" s="23">
        <v>371283.0</v>
      </c>
      <c r="F17" s="23">
        <v>608364.0</v>
      </c>
      <c r="G17" s="23">
        <v>768497.0</v>
      </c>
      <c r="H17" s="14">
        <f t="shared" ref="H17:L17" si="8">G17*(1+$B75)</f>
        <v>914511.43</v>
      </c>
      <c r="I17" s="14">
        <f t="shared" si="8"/>
        <v>1088268.602</v>
      </c>
      <c r="J17" s="14">
        <f t="shared" si="8"/>
        <v>1295039.636</v>
      </c>
      <c r="K17" s="14">
        <f t="shared" si="8"/>
        <v>1541097.167</v>
      </c>
      <c r="L17" s="14">
        <f t="shared" si="8"/>
        <v>1833905.629</v>
      </c>
    </row>
    <row r="18" ht="15.75" customHeight="1">
      <c r="A18" s="3" t="s">
        <v>150</v>
      </c>
      <c r="B18" s="22">
        <v>42217.0</v>
      </c>
      <c r="C18" s="22">
        <v>89068.0</v>
      </c>
      <c r="D18" s="23">
        <v>121436.0</v>
      </c>
      <c r="E18" s="23">
        <v>223092.0</v>
      </c>
      <c r="F18" s="23">
        <v>317344.0</v>
      </c>
      <c r="G18" s="23">
        <v>392764.0</v>
      </c>
      <c r="H18" s="14">
        <f t="shared" ref="H18:L18" si="9">H6*B$83</f>
        <v>431473.9028</v>
      </c>
      <c r="I18" s="14">
        <f t="shared" si="9"/>
        <v>509720.8127</v>
      </c>
      <c r="J18" s="14">
        <f t="shared" si="9"/>
        <v>600532.7864</v>
      </c>
      <c r="K18" s="14">
        <f t="shared" si="9"/>
        <v>704045.8483</v>
      </c>
      <c r="L18" s="14">
        <f t="shared" si="9"/>
        <v>809255.1131</v>
      </c>
    </row>
    <row r="19" ht="15.75" customHeight="1">
      <c r="A19" s="3" t="s">
        <v>151</v>
      </c>
      <c r="B19" s="22">
        <v>299450.0</v>
      </c>
      <c r="C19" s="22">
        <v>485851.0</v>
      </c>
      <c r="D19" s="23">
        <v>737422.0</v>
      </c>
      <c r="E19" s="23">
        <v>1210921.0</v>
      </c>
      <c r="F19" s="23">
        <v>1830117.0</v>
      </c>
      <c r="G19" s="23">
        <v>2301827.0</v>
      </c>
      <c r="H19" s="14">
        <f t="shared" ref="H19:L19" si="10">sum(H16:H18)</f>
        <v>2699244.391</v>
      </c>
      <c r="I19" s="14">
        <f t="shared" si="10"/>
        <v>3331040.177</v>
      </c>
      <c r="J19" s="14">
        <f t="shared" si="10"/>
        <v>4130888.905</v>
      </c>
      <c r="K19" s="14">
        <f t="shared" si="10"/>
        <v>5052944.91</v>
      </c>
      <c r="L19" s="14">
        <f t="shared" si="10"/>
        <v>6023593.492</v>
      </c>
    </row>
    <row r="20" ht="15.75" customHeight="1">
      <c r="A20" s="1" t="s">
        <v>152</v>
      </c>
      <c r="B20" s="33">
        <v>-136864.0</v>
      </c>
      <c r="C20" s="33">
        <v>-146065.0</v>
      </c>
      <c r="D20" s="34">
        <v>-92529.0</v>
      </c>
      <c r="E20" s="34">
        <v>-142548.0</v>
      </c>
      <c r="F20" s="34">
        <v>-190112.0</v>
      </c>
      <c r="G20" s="34">
        <v>-1995.0</v>
      </c>
      <c r="H20" s="13">
        <f t="shared" ref="H20:L20" si="11">H13-H19</f>
        <v>345055.6117</v>
      </c>
      <c r="I20" s="13">
        <f t="shared" si="11"/>
        <v>615071.8332</v>
      </c>
      <c r="J20" s="13">
        <f t="shared" si="11"/>
        <v>1068751.004</v>
      </c>
      <c r="K20" s="13">
        <f t="shared" si="11"/>
        <v>1591734.801</v>
      </c>
      <c r="L20" s="13">
        <f t="shared" si="11"/>
        <v>2127589.069</v>
      </c>
      <c r="M20" s="1"/>
      <c r="N20" s="1"/>
      <c r="O20" s="1"/>
      <c r="P20" s="1"/>
      <c r="Q20" s="1"/>
      <c r="R20" s="1"/>
      <c r="S20" s="1"/>
      <c r="T20" s="1"/>
      <c r="U20" s="1"/>
      <c r="V20" s="1"/>
      <c r="W20" s="1"/>
      <c r="X20" s="1"/>
    </row>
    <row r="21" ht="15.75" customHeight="1">
      <c r="B21" s="22"/>
      <c r="C21" s="22"/>
      <c r="D21" s="22"/>
      <c r="E21" s="22"/>
      <c r="F21" s="22"/>
      <c r="G21" s="22"/>
      <c r="H21" s="14"/>
      <c r="I21" s="14"/>
      <c r="J21" s="14"/>
      <c r="K21" s="14"/>
      <c r="L21" s="14"/>
    </row>
    <row r="22" ht="15.75" customHeight="1">
      <c r="A22" s="3" t="s">
        <v>169</v>
      </c>
      <c r="B22" s="22">
        <v>-428.0</v>
      </c>
      <c r="C22" s="22">
        <v>-442.0</v>
      </c>
      <c r="D22" s="23">
        <v>-1559.0</v>
      </c>
      <c r="E22" s="23">
        <v>-25231.0</v>
      </c>
      <c r="F22" s="23">
        <v>-25319.0</v>
      </c>
      <c r="G22" s="23">
        <v>-25756.0</v>
      </c>
      <c r="H22" s="22">
        <f t="shared" ref="H22:L22" si="12">G22</f>
        <v>-25756</v>
      </c>
      <c r="I22" s="22">
        <f t="shared" si="12"/>
        <v>-25756</v>
      </c>
      <c r="J22" s="22">
        <f t="shared" si="12"/>
        <v>-25756</v>
      </c>
      <c r="K22" s="22">
        <f t="shared" si="12"/>
        <v>-25756</v>
      </c>
      <c r="L22" s="22">
        <f t="shared" si="12"/>
        <v>-25756</v>
      </c>
    </row>
    <row r="23" ht="15.75" customHeight="1">
      <c r="A23" s="3" t="s">
        <v>170</v>
      </c>
      <c r="B23" s="22">
        <v>0.0</v>
      </c>
      <c r="C23" s="22">
        <v>0.0</v>
      </c>
      <c r="D23" s="23">
        <v>0.0</v>
      </c>
      <c r="E23" s="23">
        <v>0.0</v>
      </c>
      <c r="F23" s="23">
        <v>52495.0</v>
      </c>
      <c r="G23" s="23">
        <v>148930.0</v>
      </c>
      <c r="H23" s="22">
        <f t="shared" ref="H23:L23" si="13">0</f>
        <v>0</v>
      </c>
      <c r="I23" s="22">
        <f t="shared" si="13"/>
        <v>0</v>
      </c>
      <c r="J23" s="22">
        <f t="shared" si="13"/>
        <v>0</v>
      </c>
      <c r="K23" s="22">
        <f t="shared" si="13"/>
        <v>0</v>
      </c>
      <c r="L23" s="22">
        <f t="shared" si="13"/>
        <v>0</v>
      </c>
    </row>
    <row r="24" ht="15.75" customHeight="1">
      <c r="A24" s="3" t="s">
        <v>171</v>
      </c>
      <c r="B24" s="22">
        <v>-1418.0</v>
      </c>
      <c r="C24" s="22">
        <v>6725.0</v>
      </c>
      <c r="D24" s="23">
        <v>6219.0</v>
      </c>
      <c r="E24" s="23">
        <v>7756.0</v>
      </c>
      <c r="F24" s="23">
        <v>3053.0</v>
      </c>
      <c r="G24" s="23">
        <v>1638.0</v>
      </c>
      <c r="H24" s="14">
        <v>0.0</v>
      </c>
      <c r="I24" s="14">
        <v>0.0</v>
      </c>
      <c r="J24" s="14">
        <v>0.0</v>
      </c>
      <c r="K24" s="14">
        <v>0.0</v>
      </c>
      <c r="L24" s="14">
        <v>0.0</v>
      </c>
    </row>
    <row r="25" ht="15.75" customHeight="1">
      <c r="A25" s="67" t="s">
        <v>172</v>
      </c>
      <c r="B25" s="33">
        <v>-138710.0</v>
      </c>
      <c r="C25" s="33">
        <v>-139782.0</v>
      </c>
      <c r="D25" s="34">
        <v>-87869.0</v>
      </c>
      <c r="E25" s="34">
        <v>-160023.0</v>
      </c>
      <c r="F25" s="34">
        <v>-159883.0</v>
      </c>
      <c r="G25" s="34">
        <v>122817.0</v>
      </c>
      <c r="H25" s="13">
        <f t="shared" ref="H25:L25" si="14">H20+H22+H23+H24</f>
        <v>319299.6117</v>
      </c>
      <c r="I25" s="13">
        <f t="shared" si="14"/>
        <v>589315.8332</v>
      </c>
      <c r="J25" s="13">
        <f t="shared" si="14"/>
        <v>1042995.004</v>
      </c>
      <c r="K25" s="13">
        <f t="shared" si="14"/>
        <v>1565978.801</v>
      </c>
      <c r="L25" s="13">
        <f t="shared" si="14"/>
        <v>2101833.069</v>
      </c>
      <c r="M25" s="1"/>
      <c r="N25" s="1"/>
      <c r="O25" s="1"/>
      <c r="P25" s="1"/>
      <c r="Q25" s="1"/>
      <c r="R25" s="1"/>
      <c r="S25" s="1"/>
      <c r="T25" s="1"/>
      <c r="U25" s="1"/>
      <c r="V25" s="1"/>
      <c r="W25" s="1"/>
      <c r="X25" s="1"/>
    </row>
    <row r="26" ht="15.75" customHeight="1">
      <c r="A26" s="68"/>
      <c r="B26" s="22"/>
      <c r="C26" s="22"/>
      <c r="D26" s="23"/>
      <c r="E26" s="23"/>
      <c r="F26" s="23"/>
      <c r="G26" s="23"/>
      <c r="H26" s="14"/>
      <c r="I26" s="14"/>
      <c r="J26" s="14"/>
      <c r="K26" s="14"/>
      <c r="L26" s="14"/>
    </row>
    <row r="27" ht="15.75" customHeight="1">
      <c r="A27" s="3" t="s">
        <v>173</v>
      </c>
      <c r="B27" s="22">
        <v>-1367.0</v>
      </c>
      <c r="C27" s="22">
        <v>-1997.0</v>
      </c>
      <c r="D27" s="23">
        <v>4760.0</v>
      </c>
      <c r="E27" s="23">
        <v>72355.0</v>
      </c>
      <c r="F27" s="23">
        <v>22402.0</v>
      </c>
      <c r="G27" s="23">
        <v>32232.0</v>
      </c>
      <c r="H27" s="14">
        <f t="shared" ref="H27:L27" si="15">0.2*H25</f>
        <v>63859.92233</v>
      </c>
      <c r="I27" s="14">
        <f t="shared" si="15"/>
        <v>117863.1666</v>
      </c>
      <c r="J27" s="14">
        <f t="shared" si="15"/>
        <v>208599.0007</v>
      </c>
      <c r="K27" s="14">
        <f t="shared" si="15"/>
        <v>313195.7602</v>
      </c>
      <c r="L27" s="14">
        <f t="shared" si="15"/>
        <v>420366.6137</v>
      </c>
    </row>
    <row r="28" ht="15.75" customHeight="1">
      <c r="B28" s="22"/>
      <c r="C28" s="22"/>
      <c r="D28" s="22"/>
      <c r="E28" s="22"/>
      <c r="F28" s="22"/>
      <c r="G28" s="22"/>
      <c r="H28" s="14"/>
      <c r="I28" s="14"/>
      <c r="J28" s="14"/>
      <c r="K28" s="14"/>
      <c r="L28" s="14"/>
    </row>
    <row r="29" ht="15.75" customHeight="1">
      <c r="A29" s="1" t="s">
        <v>174</v>
      </c>
      <c r="B29" s="33">
        <v>-140077.0</v>
      </c>
      <c r="C29" s="33">
        <v>-141779.0</v>
      </c>
      <c r="D29" s="34">
        <v>-92629.0</v>
      </c>
      <c r="E29" s="34">
        <v>-232378.0</v>
      </c>
      <c r="F29" s="34">
        <v>-182285.0</v>
      </c>
      <c r="G29" s="34">
        <v>90585.0</v>
      </c>
      <c r="H29" s="13">
        <f t="shared" ref="H29:L29" si="16">H25-H27</f>
        <v>255439.6893</v>
      </c>
      <c r="I29" s="13">
        <f t="shared" si="16"/>
        <v>471452.6665</v>
      </c>
      <c r="J29" s="13">
        <f t="shared" si="16"/>
        <v>834396.003</v>
      </c>
      <c r="K29" s="13">
        <f t="shared" si="16"/>
        <v>1252783.041</v>
      </c>
      <c r="L29" s="13">
        <f t="shared" si="16"/>
        <v>1681466.455</v>
      </c>
      <c r="M29" s="1"/>
      <c r="N29" s="1"/>
      <c r="O29" s="1"/>
      <c r="P29" s="1"/>
      <c r="Q29" s="1"/>
      <c r="R29" s="1"/>
      <c r="S29" s="1"/>
      <c r="T29" s="1"/>
      <c r="U29" s="1"/>
      <c r="V29" s="1"/>
      <c r="W29" s="1"/>
      <c r="X29" s="1"/>
    </row>
    <row r="30" ht="15.75" customHeight="1">
      <c r="B30" s="14"/>
      <c r="C30" s="14"/>
      <c r="D30" s="14"/>
      <c r="E30" s="14"/>
      <c r="F30" s="69"/>
      <c r="G30" s="69"/>
    </row>
    <row r="31" ht="15.75" customHeight="1">
      <c r="B31" s="14"/>
      <c r="C31" s="14"/>
      <c r="D31" s="14"/>
      <c r="E31" s="14"/>
      <c r="F31" s="69"/>
      <c r="G31" s="69"/>
    </row>
    <row r="32" ht="15.75" customHeight="1">
      <c r="A32" s="1" t="s">
        <v>121</v>
      </c>
      <c r="B32" s="14"/>
      <c r="C32" s="14"/>
      <c r="D32" s="14"/>
      <c r="E32" s="14"/>
      <c r="F32" s="14"/>
      <c r="G32" s="14"/>
    </row>
    <row r="33" ht="15.75" customHeight="1">
      <c r="G33" s="14"/>
    </row>
    <row r="34" ht="15.75" customHeight="1">
      <c r="A34" s="1" t="s">
        <v>175</v>
      </c>
      <c r="B34" s="64">
        <v>2025.0</v>
      </c>
      <c r="C34" s="64">
        <v>2026.0</v>
      </c>
      <c r="D34" s="64">
        <v>2027.0</v>
      </c>
      <c r="E34" s="64">
        <v>2028.0</v>
      </c>
      <c r="F34" s="64">
        <v>2029.0</v>
      </c>
      <c r="G34" s="13" t="s">
        <v>123</v>
      </c>
    </row>
    <row r="35" ht="15.75" customHeight="1">
      <c r="A35" s="3" t="s">
        <v>176</v>
      </c>
      <c r="B35" s="55">
        <v>0.27</v>
      </c>
      <c r="C35" s="55">
        <v>0.24</v>
      </c>
      <c r="D35" s="55">
        <v>0.22</v>
      </c>
      <c r="E35" s="55">
        <v>0.2</v>
      </c>
      <c r="F35" s="55">
        <v>0.18</v>
      </c>
      <c r="G35" s="14">
        <v>1.0</v>
      </c>
    </row>
    <row r="36" ht="15.75" customHeight="1">
      <c r="A36" s="3" t="s">
        <v>125</v>
      </c>
      <c r="B36" s="55">
        <v>0.12</v>
      </c>
      <c r="C36" s="55">
        <v>0.1</v>
      </c>
      <c r="D36" s="55">
        <v>0.08</v>
      </c>
      <c r="E36" s="55">
        <v>0.08</v>
      </c>
      <c r="F36" s="55">
        <v>0.08</v>
      </c>
      <c r="G36" s="14">
        <v>2.0</v>
      </c>
    </row>
    <row r="37" ht="15.75" customHeight="1">
      <c r="A37" s="3" t="s">
        <v>126</v>
      </c>
      <c r="B37" s="55">
        <v>0.2</v>
      </c>
      <c r="C37" s="55">
        <v>0.18</v>
      </c>
      <c r="D37" s="55">
        <v>0.15</v>
      </c>
      <c r="E37" s="55">
        <v>0.14</v>
      </c>
      <c r="F37" s="55">
        <v>0.13</v>
      </c>
      <c r="G37" s="14">
        <v>3.0</v>
      </c>
    </row>
    <row r="38" ht="15.75" customHeight="1">
      <c r="A38" s="3" t="s">
        <v>127</v>
      </c>
      <c r="B38" s="55">
        <v>0.28</v>
      </c>
      <c r="C38" s="55">
        <v>0.27</v>
      </c>
      <c r="D38" s="55">
        <v>0.27</v>
      </c>
      <c r="E38" s="55">
        <v>0.2</v>
      </c>
      <c r="F38" s="55">
        <v>0.18</v>
      </c>
      <c r="G38" s="14">
        <v>4.0</v>
      </c>
    </row>
    <row r="39" ht="15.75" customHeight="1">
      <c r="A39" s="3" t="s">
        <v>128</v>
      </c>
      <c r="B39" s="55">
        <v>0.36</v>
      </c>
      <c r="C39" s="55">
        <v>0.36</v>
      </c>
      <c r="D39" s="55">
        <v>0.3</v>
      </c>
      <c r="E39" s="55">
        <v>0.25</v>
      </c>
      <c r="F39" s="55">
        <v>0.23</v>
      </c>
      <c r="G39" s="14">
        <v>5.0</v>
      </c>
    </row>
    <row r="40" ht="15.75" customHeight="1">
      <c r="A40" s="1" t="s">
        <v>177</v>
      </c>
      <c r="B40" s="56">
        <f t="shared" ref="B40:F40" si="17">IFS($C$3=$G$35,B35, $C$3=$G$36,B36,$C$3=$G$37,B37,$C$3=$G$38,B38,$C$3=$G$39,B39)</f>
        <v>0.27</v>
      </c>
      <c r="C40" s="56">
        <f t="shared" si="17"/>
        <v>0.24</v>
      </c>
      <c r="D40" s="56">
        <f t="shared" si="17"/>
        <v>0.22</v>
      </c>
      <c r="E40" s="56">
        <f t="shared" si="17"/>
        <v>0.2</v>
      </c>
      <c r="F40" s="56">
        <f t="shared" si="17"/>
        <v>0.18</v>
      </c>
      <c r="G40" s="14"/>
    </row>
    <row r="41" ht="15.75" customHeight="1">
      <c r="B41" s="14"/>
      <c r="C41" s="14"/>
      <c r="D41" s="14"/>
      <c r="E41" s="14"/>
      <c r="F41" s="14"/>
      <c r="G41" s="14"/>
    </row>
    <row r="42" ht="15.75" customHeight="1">
      <c r="A42" s="1" t="s">
        <v>178</v>
      </c>
      <c r="B42" s="64">
        <v>2025.0</v>
      </c>
      <c r="C42" s="64">
        <v>2026.0</v>
      </c>
      <c r="D42" s="64">
        <v>2027.0</v>
      </c>
      <c r="E42" s="64">
        <v>2028.0</v>
      </c>
      <c r="F42" s="64">
        <v>2029.0</v>
      </c>
      <c r="G42" s="13" t="s">
        <v>123</v>
      </c>
    </row>
    <row r="43" ht="15.75" customHeight="1">
      <c r="A43" s="3" t="s">
        <v>176</v>
      </c>
      <c r="B43" s="55">
        <v>0.27</v>
      </c>
      <c r="C43" s="55">
        <v>0.24</v>
      </c>
      <c r="D43" s="55">
        <v>0.22</v>
      </c>
      <c r="E43" s="55">
        <v>0.2</v>
      </c>
      <c r="F43" s="55">
        <v>0.18</v>
      </c>
      <c r="G43" s="14">
        <v>1.0</v>
      </c>
    </row>
    <row r="44" ht="15.75" customHeight="1">
      <c r="A44" s="3" t="s">
        <v>125</v>
      </c>
      <c r="B44" s="55">
        <v>0.12</v>
      </c>
      <c r="C44" s="55">
        <v>0.1</v>
      </c>
      <c r="D44" s="55">
        <v>0.08</v>
      </c>
      <c r="E44" s="55">
        <v>0.08</v>
      </c>
      <c r="F44" s="55">
        <v>0.08</v>
      </c>
      <c r="G44" s="14">
        <v>2.0</v>
      </c>
    </row>
    <row r="45" ht="15.75" customHeight="1">
      <c r="A45" s="3" t="s">
        <v>126</v>
      </c>
      <c r="B45" s="55">
        <v>0.2</v>
      </c>
      <c r="C45" s="55">
        <v>0.18</v>
      </c>
      <c r="D45" s="55">
        <v>0.15</v>
      </c>
      <c r="E45" s="55">
        <v>0.14</v>
      </c>
      <c r="F45" s="55">
        <v>0.13</v>
      </c>
      <c r="G45" s="14">
        <v>3.0</v>
      </c>
    </row>
    <row r="46" ht="15.75" customHeight="1">
      <c r="A46" s="3" t="s">
        <v>127</v>
      </c>
      <c r="B46" s="55">
        <v>0.28</v>
      </c>
      <c r="C46" s="55">
        <v>0.27</v>
      </c>
      <c r="D46" s="55">
        <v>0.27</v>
      </c>
      <c r="E46" s="55">
        <v>0.2</v>
      </c>
      <c r="F46" s="55">
        <v>0.18</v>
      </c>
      <c r="G46" s="14">
        <v>4.0</v>
      </c>
    </row>
    <row r="47" ht="15.75" customHeight="1">
      <c r="A47" s="3" t="s">
        <v>128</v>
      </c>
      <c r="B47" s="55">
        <v>0.36</v>
      </c>
      <c r="C47" s="55">
        <v>0.36</v>
      </c>
      <c r="D47" s="55">
        <v>0.3</v>
      </c>
      <c r="E47" s="55">
        <v>0.25</v>
      </c>
      <c r="F47" s="55">
        <v>0.23</v>
      </c>
      <c r="G47" s="14">
        <v>5.0</v>
      </c>
    </row>
    <row r="48" ht="15.75" customHeight="1">
      <c r="A48" s="1" t="s">
        <v>179</v>
      </c>
      <c r="B48" s="56">
        <f t="shared" ref="B48:F48" si="18">IFS($C$3=$G$43,B43, $C$3=$G$44,B44,$C$3=$G$45,B45,$C$3=$G$46,B46,$C$3=$G$47,B47)</f>
        <v>0.27</v>
      </c>
      <c r="C48" s="56">
        <f t="shared" si="18"/>
        <v>0.24</v>
      </c>
      <c r="D48" s="56">
        <f t="shared" si="18"/>
        <v>0.22</v>
      </c>
      <c r="E48" s="56">
        <f t="shared" si="18"/>
        <v>0.2</v>
      </c>
      <c r="F48" s="56">
        <f t="shared" si="18"/>
        <v>0.18</v>
      </c>
      <c r="G48" s="14"/>
    </row>
    <row r="49" ht="15.75" customHeight="1">
      <c r="B49" s="14"/>
      <c r="C49" s="14"/>
      <c r="D49" s="14"/>
      <c r="E49" s="14"/>
      <c r="F49" s="14"/>
      <c r="G49" s="14"/>
    </row>
    <row r="50" ht="15.75" customHeight="1">
      <c r="A50" s="1" t="s">
        <v>180</v>
      </c>
      <c r="B50" s="13" t="s">
        <v>181</v>
      </c>
      <c r="C50" s="14"/>
      <c r="D50" s="14"/>
      <c r="E50" s="14"/>
      <c r="F50" s="14"/>
      <c r="G50" s="13" t="s">
        <v>123</v>
      </c>
    </row>
    <row r="51" ht="15.75" customHeight="1">
      <c r="A51" s="3" t="s">
        <v>182</v>
      </c>
      <c r="B51" s="70">
        <v>0.2</v>
      </c>
      <c r="C51" s="70">
        <v>0.19</v>
      </c>
      <c r="D51" s="70">
        <f>C51-0.01</f>
        <v>0.18</v>
      </c>
      <c r="E51" s="70">
        <v>0.17</v>
      </c>
      <c r="F51" s="70">
        <f>E51</f>
        <v>0.17</v>
      </c>
      <c r="G51" s="14">
        <v>1.0</v>
      </c>
    </row>
    <row r="52" ht="15.75" customHeight="1">
      <c r="A52" s="3" t="s">
        <v>125</v>
      </c>
      <c r="B52" s="55">
        <v>0.3</v>
      </c>
      <c r="C52" s="55">
        <v>0.3</v>
      </c>
      <c r="D52" s="55">
        <v>0.3</v>
      </c>
      <c r="E52" s="55">
        <v>0.3</v>
      </c>
      <c r="F52" s="55">
        <v>0.3</v>
      </c>
      <c r="G52" s="14">
        <v>2.0</v>
      </c>
    </row>
    <row r="53" ht="15.75" customHeight="1">
      <c r="A53" s="3" t="s">
        <v>126</v>
      </c>
      <c r="B53" s="55">
        <v>0.25</v>
      </c>
      <c r="C53" s="55">
        <v>0.25</v>
      </c>
      <c r="D53" s="55">
        <v>0.25</v>
      </c>
      <c r="E53" s="55">
        <v>0.25</v>
      </c>
      <c r="F53" s="55">
        <v>0.25</v>
      </c>
      <c r="G53" s="14">
        <v>3.0</v>
      </c>
    </row>
    <row r="54" ht="15.75" customHeight="1">
      <c r="A54" s="3" t="s">
        <v>127</v>
      </c>
      <c r="B54" s="55">
        <v>0.16</v>
      </c>
      <c r="C54" s="55">
        <v>0.16</v>
      </c>
      <c r="D54" s="55">
        <v>0.16</v>
      </c>
      <c r="E54" s="55">
        <v>0.16</v>
      </c>
      <c r="F54" s="55">
        <v>0.16</v>
      </c>
      <c r="G54" s="14">
        <v>4.0</v>
      </c>
    </row>
    <row r="55" ht="15.75" customHeight="1">
      <c r="A55" s="3" t="s">
        <v>128</v>
      </c>
      <c r="B55" s="55">
        <v>0.125</v>
      </c>
      <c r="C55" s="55">
        <v>0.125</v>
      </c>
      <c r="D55" s="55">
        <v>0.125</v>
      </c>
      <c r="E55" s="55">
        <v>0.125</v>
      </c>
      <c r="F55" s="55">
        <v>0.125</v>
      </c>
      <c r="G55" s="14">
        <v>5.0</v>
      </c>
    </row>
    <row r="56" ht="15.75" customHeight="1">
      <c r="A56" s="1" t="s">
        <v>183</v>
      </c>
      <c r="B56" s="56">
        <f t="shared" ref="B56:F56" si="19">IFS($C$9=$G51,B51, $C$9=$G52,B52,$C$9=$G53,B53,$C$9=$G54,B54,$C$9=$G55,B55)</f>
        <v>0.2</v>
      </c>
      <c r="C56" s="56">
        <f t="shared" si="19"/>
        <v>0.19</v>
      </c>
      <c r="D56" s="56">
        <f t="shared" si="19"/>
        <v>0.18</v>
      </c>
      <c r="E56" s="56">
        <f t="shared" si="19"/>
        <v>0.17</v>
      </c>
      <c r="F56" s="56">
        <f t="shared" si="19"/>
        <v>0.17</v>
      </c>
      <c r="G56" s="14"/>
    </row>
    <row r="57" ht="15.75" customHeight="1">
      <c r="B57" s="14"/>
      <c r="C57" s="14"/>
      <c r="D57" s="14"/>
      <c r="E57" s="14"/>
      <c r="F57" s="14"/>
      <c r="G57" s="14"/>
    </row>
    <row r="58" ht="15.75" customHeight="1">
      <c r="A58" s="1" t="s">
        <v>184</v>
      </c>
      <c r="B58" s="13" t="s">
        <v>181</v>
      </c>
      <c r="C58" s="14"/>
      <c r="D58" s="14"/>
      <c r="E58" s="14"/>
      <c r="F58" s="14"/>
      <c r="G58" s="13" t="s">
        <v>123</v>
      </c>
    </row>
    <row r="59" ht="15.75" customHeight="1">
      <c r="A59" s="3" t="s">
        <v>182</v>
      </c>
      <c r="B59" s="70">
        <f>'Scratch Work'!H4</f>
        <v>0.6934914431</v>
      </c>
      <c r="C59" s="14"/>
      <c r="D59" s="14"/>
      <c r="E59" s="14"/>
      <c r="F59" s="14"/>
      <c r="G59" s="14">
        <v>1.0</v>
      </c>
    </row>
    <row r="60" ht="15.75" customHeight="1">
      <c r="A60" s="3" t="s">
        <v>125</v>
      </c>
      <c r="B60" s="55">
        <v>0.9</v>
      </c>
      <c r="C60" s="14"/>
      <c r="D60" s="14"/>
      <c r="E60" s="14"/>
      <c r="F60" s="14"/>
      <c r="G60" s="14">
        <v>2.0</v>
      </c>
    </row>
    <row r="61" ht="15.75" customHeight="1">
      <c r="A61" s="3" t="s">
        <v>126</v>
      </c>
      <c r="B61" s="55">
        <v>0.75</v>
      </c>
      <c r="C61" s="14"/>
      <c r="D61" s="14"/>
      <c r="E61" s="14"/>
      <c r="F61" s="14"/>
      <c r="G61" s="14">
        <v>3.0</v>
      </c>
    </row>
    <row r="62" ht="15.75" customHeight="1">
      <c r="A62" s="3" t="s">
        <v>127</v>
      </c>
      <c r="B62" s="55">
        <v>0.5</v>
      </c>
      <c r="C62" s="14"/>
      <c r="D62" s="14"/>
      <c r="E62" s="14"/>
      <c r="F62" s="14"/>
      <c r="G62" s="14">
        <v>4.0</v>
      </c>
    </row>
    <row r="63" ht="15.75" customHeight="1">
      <c r="A63" s="3" t="s">
        <v>128</v>
      </c>
      <c r="B63" s="55">
        <v>0.4</v>
      </c>
      <c r="C63" s="14"/>
      <c r="D63" s="14"/>
      <c r="E63" s="14"/>
      <c r="F63" s="14"/>
      <c r="G63" s="14">
        <v>5.0</v>
      </c>
    </row>
    <row r="64" ht="15.75" customHeight="1">
      <c r="A64" s="1" t="s">
        <v>185</v>
      </c>
      <c r="B64" s="56">
        <f>IFS($C$9=$G59,B59, $C$9=$G60,B60,$C$9=$G61,B61,$C$9=$G62,B62,$C$9=$G63,B63)</f>
        <v>0.6934914431</v>
      </c>
      <c r="C64" s="14"/>
      <c r="D64" s="14"/>
      <c r="E64" s="14"/>
      <c r="F64" s="14"/>
      <c r="G64" s="14"/>
    </row>
    <row r="65" ht="15.75" customHeight="1">
      <c r="B65" s="14"/>
      <c r="C65" s="14"/>
      <c r="D65" s="14"/>
      <c r="E65" s="14"/>
      <c r="F65" s="14"/>
      <c r="G65" s="14"/>
    </row>
    <row r="66" ht="15.75" customHeight="1">
      <c r="A66" s="1" t="s">
        <v>186</v>
      </c>
      <c r="B66" s="13" t="s">
        <v>187</v>
      </c>
      <c r="C66" s="14"/>
      <c r="D66" s="14"/>
      <c r="E66" s="14"/>
      <c r="F66" s="14"/>
      <c r="G66" s="13" t="s">
        <v>123</v>
      </c>
    </row>
    <row r="67" ht="15.75" customHeight="1">
      <c r="A67" s="3" t="s">
        <v>182</v>
      </c>
      <c r="B67" s="70">
        <v>0.345</v>
      </c>
      <c r="C67" s="70">
        <v>0.34</v>
      </c>
      <c r="D67" s="70">
        <v>0.335</v>
      </c>
      <c r="E67" s="70">
        <v>0.335</v>
      </c>
      <c r="F67" s="70">
        <v>0.33</v>
      </c>
      <c r="G67" s="14">
        <v>1.0</v>
      </c>
    </row>
    <row r="68" ht="15.75" customHeight="1">
      <c r="A68" s="3" t="s">
        <v>125</v>
      </c>
      <c r="B68" s="55">
        <v>0.5</v>
      </c>
      <c r="C68" s="55">
        <v>0.5</v>
      </c>
      <c r="D68" s="55">
        <v>0.5</v>
      </c>
      <c r="E68" s="55">
        <v>0.5</v>
      </c>
      <c r="F68" s="55">
        <v>0.5</v>
      </c>
      <c r="G68" s="14">
        <v>2.0</v>
      </c>
    </row>
    <row r="69" ht="15.75" customHeight="1">
      <c r="A69" s="3" t="s">
        <v>126</v>
      </c>
      <c r="B69" s="55">
        <v>0.4</v>
      </c>
      <c r="C69" s="55">
        <v>0.4</v>
      </c>
      <c r="D69" s="55">
        <v>0.4</v>
      </c>
      <c r="E69" s="55">
        <v>0.4</v>
      </c>
      <c r="F69" s="55">
        <v>0.4</v>
      </c>
      <c r="G69" s="14">
        <v>3.0</v>
      </c>
    </row>
    <row r="70" ht="15.75" customHeight="1">
      <c r="A70" s="3" t="s">
        <v>127</v>
      </c>
      <c r="B70" s="55">
        <v>0.25</v>
      </c>
      <c r="C70" s="55">
        <v>0.25</v>
      </c>
      <c r="D70" s="55">
        <v>0.25</v>
      </c>
      <c r="E70" s="55">
        <v>0.25</v>
      </c>
      <c r="F70" s="55">
        <v>0.25</v>
      </c>
      <c r="G70" s="14">
        <v>4.0</v>
      </c>
    </row>
    <row r="71" ht="15.75" customHeight="1">
      <c r="A71" s="3" t="s">
        <v>128</v>
      </c>
      <c r="B71" s="55">
        <v>0.2</v>
      </c>
      <c r="C71" s="55">
        <v>0.2</v>
      </c>
      <c r="D71" s="55">
        <v>0.2</v>
      </c>
      <c r="E71" s="55">
        <v>0.2</v>
      </c>
      <c r="F71" s="55">
        <v>0.2</v>
      </c>
      <c r="G71" s="14">
        <v>5.0</v>
      </c>
    </row>
    <row r="72" ht="15.75" customHeight="1">
      <c r="A72" s="1" t="s">
        <v>188</v>
      </c>
      <c r="B72" s="56">
        <f t="shared" ref="B72:F72" si="20">IFS($C$15=$G67,B67, $C$15=$G68,B68,$C$15=$G69,B69,$C$15=$G70,B70,$C$15=$G71,B71)</f>
        <v>0.345</v>
      </c>
      <c r="C72" s="56">
        <f t="shared" si="20"/>
        <v>0.34</v>
      </c>
      <c r="D72" s="56">
        <f t="shared" si="20"/>
        <v>0.335</v>
      </c>
      <c r="E72" s="56">
        <f t="shared" si="20"/>
        <v>0.335</v>
      </c>
      <c r="F72" s="56">
        <f t="shared" si="20"/>
        <v>0.33</v>
      </c>
      <c r="G72" s="14"/>
    </row>
    <row r="73" ht="15.75" customHeight="1">
      <c r="B73" s="14"/>
      <c r="C73" s="14"/>
      <c r="D73" s="14"/>
      <c r="E73" s="14"/>
      <c r="F73" s="14"/>
      <c r="G73" s="14"/>
    </row>
    <row r="74" ht="15.75" customHeight="1">
      <c r="A74" s="1" t="s">
        <v>189</v>
      </c>
      <c r="B74" s="13" t="s">
        <v>190</v>
      </c>
      <c r="C74" s="14"/>
      <c r="D74" s="14"/>
      <c r="E74" s="14"/>
      <c r="F74" s="14"/>
      <c r="G74" s="13" t="s">
        <v>123</v>
      </c>
    </row>
    <row r="75" ht="15.75" customHeight="1">
      <c r="A75" s="3" t="s">
        <v>182</v>
      </c>
      <c r="B75" s="71">
        <v>0.19</v>
      </c>
      <c r="C75" s="14"/>
      <c r="D75" s="14"/>
      <c r="E75" s="14"/>
      <c r="F75" s="14"/>
      <c r="G75" s="14">
        <v>1.0</v>
      </c>
    </row>
    <row r="76" ht="15.75" customHeight="1">
      <c r="A76" s="3" t="s">
        <v>125</v>
      </c>
      <c r="B76" s="55">
        <v>0.29</v>
      </c>
      <c r="C76" s="14"/>
      <c r="D76" s="14"/>
      <c r="E76" s="14"/>
      <c r="F76" s="14"/>
      <c r="G76" s="14">
        <v>2.0</v>
      </c>
    </row>
    <row r="77" ht="15.75" customHeight="1">
      <c r="A77" s="3" t="s">
        <v>126</v>
      </c>
      <c r="B77" s="55">
        <v>0.24</v>
      </c>
      <c r="C77" s="14"/>
      <c r="D77" s="14"/>
      <c r="E77" s="14"/>
      <c r="F77" s="14"/>
      <c r="G77" s="14">
        <v>3.0</v>
      </c>
    </row>
    <row r="78" ht="15.75" customHeight="1">
      <c r="A78" s="3" t="s">
        <v>127</v>
      </c>
      <c r="B78" s="55">
        <v>0.16</v>
      </c>
      <c r="C78" s="14"/>
      <c r="D78" s="14"/>
      <c r="E78" s="14"/>
      <c r="F78" s="14"/>
      <c r="G78" s="14">
        <v>4.0</v>
      </c>
    </row>
    <row r="79" ht="15.75" customHeight="1">
      <c r="A79" s="3" t="s">
        <v>128</v>
      </c>
      <c r="B79" s="55">
        <v>0.12</v>
      </c>
      <c r="C79" s="14"/>
      <c r="D79" s="14"/>
      <c r="E79" s="14"/>
      <c r="F79" s="14"/>
      <c r="G79" s="14">
        <v>5.0</v>
      </c>
    </row>
    <row r="80" ht="15.75" customHeight="1">
      <c r="A80" s="1" t="s">
        <v>191</v>
      </c>
      <c r="B80" s="56">
        <f>IFS($C$15=$G75,B75, $C$15=$G76,B76,$C$15=$G77,B77,$C$15=$G78,B78,$C$15=$G79,B79)</f>
        <v>0.19</v>
      </c>
      <c r="C80" s="14"/>
      <c r="D80" s="14"/>
      <c r="E80" s="14"/>
      <c r="F80" s="14"/>
      <c r="G80" s="14"/>
    </row>
    <row r="81" ht="15.75" customHeight="1">
      <c r="B81" s="14"/>
      <c r="C81" s="14"/>
      <c r="D81" s="14"/>
      <c r="E81" s="14"/>
      <c r="F81" s="14"/>
      <c r="G81" s="14"/>
    </row>
    <row r="82" ht="15.75" customHeight="1">
      <c r="A82" s="1" t="s">
        <v>192</v>
      </c>
      <c r="B82" s="13" t="s">
        <v>193</v>
      </c>
      <c r="C82" s="14"/>
      <c r="D82" s="14"/>
      <c r="E82" s="14"/>
      <c r="F82" s="14"/>
      <c r="G82" s="13" t="s">
        <v>123</v>
      </c>
    </row>
    <row r="83" ht="15.75" customHeight="1">
      <c r="A83" s="3" t="s">
        <v>182</v>
      </c>
      <c r="B83" s="70">
        <v>0.11</v>
      </c>
      <c r="C83" s="71">
        <v>0.1</v>
      </c>
      <c r="D83" s="70">
        <v>0.09</v>
      </c>
      <c r="E83" s="70">
        <v>0.084</v>
      </c>
      <c r="F83" s="70">
        <v>0.079</v>
      </c>
      <c r="G83" s="14">
        <v>1.0</v>
      </c>
    </row>
    <row r="84" ht="15.75" customHeight="1">
      <c r="A84" s="3" t="s">
        <v>125</v>
      </c>
      <c r="B84" s="55">
        <f t="shared" ref="B84:F84" si="21">13%</f>
        <v>0.13</v>
      </c>
      <c r="C84" s="55">
        <f t="shared" si="21"/>
        <v>0.13</v>
      </c>
      <c r="D84" s="55">
        <f t="shared" si="21"/>
        <v>0.13</v>
      </c>
      <c r="E84" s="55">
        <f t="shared" si="21"/>
        <v>0.13</v>
      </c>
      <c r="F84" s="55">
        <f t="shared" si="21"/>
        <v>0.13</v>
      </c>
      <c r="G84" s="14">
        <v>2.0</v>
      </c>
    </row>
    <row r="85" ht="15.75" customHeight="1">
      <c r="A85" s="3" t="s">
        <v>126</v>
      </c>
      <c r="B85" s="55">
        <f t="shared" ref="B85:F85" si="22">B83*1.1</f>
        <v>0.121</v>
      </c>
      <c r="C85" s="55">
        <f t="shared" si="22"/>
        <v>0.11</v>
      </c>
      <c r="D85" s="55">
        <f t="shared" si="22"/>
        <v>0.099</v>
      </c>
      <c r="E85" s="55">
        <f t="shared" si="22"/>
        <v>0.0924</v>
      </c>
      <c r="F85" s="55">
        <f t="shared" si="22"/>
        <v>0.0869</v>
      </c>
      <c r="G85" s="14">
        <v>3.0</v>
      </c>
    </row>
    <row r="86" ht="15.75" customHeight="1">
      <c r="A86" s="3" t="s">
        <v>127</v>
      </c>
      <c r="B86" s="55">
        <f t="shared" ref="B86:F86" si="23">B83*0.85</f>
        <v>0.0935</v>
      </c>
      <c r="C86" s="55">
        <f t="shared" si="23"/>
        <v>0.085</v>
      </c>
      <c r="D86" s="55">
        <f t="shared" si="23"/>
        <v>0.0765</v>
      </c>
      <c r="E86" s="55">
        <f t="shared" si="23"/>
        <v>0.0714</v>
      </c>
      <c r="F86" s="55">
        <f t="shared" si="23"/>
        <v>0.06715</v>
      </c>
      <c r="G86" s="14">
        <v>4.0</v>
      </c>
    </row>
    <row r="87" ht="15.75" customHeight="1">
      <c r="A87" s="3" t="s">
        <v>128</v>
      </c>
      <c r="B87" s="55">
        <f t="shared" ref="B87:F87" si="24">B83*0.7</f>
        <v>0.077</v>
      </c>
      <c r="C87" s="55">
        <f t="shared" si="24"/>
        <v>0.07</v>
      </c>
      <c r="D87" s="55">
        <f t="shared" si="24"/>
        <v>0.063</v>
      </c>
      <c r="E87" s="55">
        <f t="shared" si="24"/>
        <v>0.0588</v>
      </c>
      <c r="F87" s="55">
        <f t="shared" si="24"/>
        <v>0.0553</v>
      </c>
      <c r="G87" s="14">
        <v>5.0</v>
      </c>
    </row>
    <row r="88" ht="15.75" customHeight="1">
      <c r="A88" s="1" t="s">
        <v>194</v>
      </c>
      <c r="B88" s="56">
        <f>IFS($C$15=$G83,B83, $C$15=$G84,B84,$C$15=$G85,B85,$C$15=$G86,B86,$C$15=$G87,B87)</f>
        <v>0.11</v>
      </c>
      <c r="C88" s="14"/>
      <c r="D88" s="14"/>
      <c r="E88" s="14"/>
      <c r="F88" s="14"/>
      <c r="G88" s="14"/>
    </row>
    <row r="89" ht="15.75" customHeight="1">
      <c r="B89" s="14"/>
      <c r="C89" s="14"/>
      <c r="D89" s="14"/>
      <c r="E89" s="14"/>
      <c r="F89" s="14"/>
      <c r="G89" s="14"/>
    </row>
    <row r="90" ht="15.75" customHeight="1">
      <c r="A90" s="1" t="s">
        <v>195</v>
      </c>
      <c r="B90" s="55">
        <v>0.25</v>
      </c>
      <c r="C90" s="14"/>
      <c r="D90" s="14"/>
      <c r="E90" s="14"/>
      <c r="F90" s="14"/>
      <c r="G90" s="14"/>
    </row>
    <row r="91" ht="15.75" customHeight="1">
      <c r="B91" s="14"/>
      <c r="C91" s="14"/>
      <c r="D91" s="14"/>
      <c r="E91" s="14"/>
      <c r="F91" s="14"/>
      <c r="G91" s="14"/>
    </row>
    <row r="92" ht="15.75" customHeight="1">
      <c r="B92" s="14"/>
      <c r="C92" s="14"/>
      <c r="D92" s="14"/>
      <c r="E92" s="14"/>
      <c r="F92" s="14"/>
      <c r="G92" s="14"/>
    </row>
    <row r="93" ht="15.75" customHeight="1">
      <c r="B93" s="14"/>
      <c r="C93" s="14"/>
      <c r="D93" s="14"/>
      <c r="E93" s="14"/>
      <c r="F93" s="14"/>
      <c r="G93" s="14"/>
    </row>
    <row r="94" ht="15.75" customHeight="1">
      <c r="B94" s="14"/>
      <c r="C94" s="14"/>
      <c r="D94" s="14"/>
      <c r="E94" s="14"/>
      <c r="F94" s="14"/>
      <c r="G94" s="14"/>
    </row>
    <row r="95" ht="15.75" customHeight="1">
      <c r="B95" s="14"/>
      <c r="C95" s="14"/>
      <c r="D95" s="14"/>
      <c r="E95" s="14"/>
      <c r="F95" s="14"/>
      <c r="G95" s="14"/>
    </row>
    <row r="96" ht="15.75" customHeight="1">
      <c r="B96" s="14"/>
      <c r="C96" s="14"/>
      <c r="D96" s="14"/>
      <c r="E96" s="14"/>
      <c r="F96" s="14"/>
      <c r="G96" s="14"/>
    </row>
    <row r="97" ht="15.75" customHeight="1">
      <c r="B97" s="14"/>
      <c r="C97" s="14"/>
      <c r="D97" s="14"/>
      <c r="E97" s="14"/>
      <c r="F97" s="14"/>
      <c r="G97" s="14"/>
    </row>
    <row r="98" ht="15.75" customHeight="1">
      <c r="B98" s="14"/>
      <c r="C98" s="14"/>
      <c r="D98" s="14"/>
      <c r="E98" s="14"/>
      <c r="F98" s="14"/>
      <c r="G98" s="14"/>
    </row>
    <row r="99" ht="15.75" customHeight="1">
      <c r="B99" s="14"/>
      <c r="C99" s="14"/>
      <c r="D99" s="14"/>
      <c r="E99" s="14"/>
      <c r="F99" s="14"/>
      <c r="G99" s="14"/>
    </row>
    <row r="100" ht="15.75" customHeight="1">
      <c r="B100" s="14"/>
      <c r="C100" s="14"/>
      <c r="D100" s="14"/>
      <c r="E100" s="14"/>
      <c r="F100" s="14"/>
      <c r="G100" s="14"/>
    </row>
    <row r="101" ht="15.75" customHeight="1">
      <c r="B101" s="14"/>
      <c r="C101" s="14"/>
      <c r="D101" s="14"/>
      <c r="E101" s="14"/>
      <c r="F101" s="14"/>
      <c r="G101" s="14"/>
    </row>
    <row r="102" ht="15.75" customHeight="1">
      <c r="B102" s="14"/>
      <c r="C102" s="14"/>
      <c r="D102" s="14"/>
      <c r="E102" s="14"/>
      <c r="F102" s="14"/>
      <c r="G102" s="14"/>
    </row>
    <row r="103" ht="15.75" customHeight="1">
      <c r="B103" s="14"/>
      <c r="C103" s="14"/>
      <c r="D103" s="14"/>
      <c r="E103" s="14"/>
      <c r="F103" s="14"/>
      <c r="G103" s="14"/>
    </row>
    <row r="104" ht="15.75" customHeight="1">
      <c r="B104" s="14"/>
      <c r="C104" s="14"/>
      <c r="D104" s="14"/>
      <c r="E104" s="14"/>
      <c r="F104" s="14"/>
      <c r="G104" s="14"/>
    </row>
    <row r="105" ht="15.75" customHeight="1">
      <c r="B105" s="14"/>
      <c r="C105" s="14"/>
      <c r="D105" s="14"/>
      <c r="E105" s="14"/>
      <c r="F105" s="14"/>
      <c r="G105" s="14"/>
    </row>
    <row r="106" ht="15.75" customHeight="1">
      <c r="B106" s="14"/>
      <c r="C106" s="14"/>
      <c r="D106" s="14"/>
      <c r="E106" s="14"/>
      <c r="F106" s="14"/>
      <c r="G106" s="14"/>
    </row>
    <row r="107" ht="15.75" customHeight="1">
      <c r="B107" s="14"/>
      <c r="C107" s="14"/>
      <c r="D107" s="14"/>
      <c r="E107" s="14"/>
      <c r="F107" s="14"/>
      <c r="G107" s="14"/>
    </row>
    <row r="108" ht="15.75" customHeight="1">
      <c r="B108" s="14"/>
      <c r="C108" s="14"/>
      <c r="D108" s="14"/>
      <c r="E108" s="14"/>
      <c r="F108" s="14"/>
      <c r="G108" s="14"/>
    </row>
    <row r="109" ht="15.75" customHeight="1">
      <c r="B109" s="14"/>
      <c r="C109" s="14"/>
      <c r="D109" s="14"/>
      <c r="E109" s="14"/>
      <c r="F109" s="14"/>
      <c r="G109" s="14"/>
    </row>
    <row r="110" ht="15.75" customHeight="1">
      <c r="B110" s="14"/>
      <c r="C110" s="14"/>
      <c r="D110" s="14"/>
      <c r="E110" s="14"/>
      <c r="F110" s="14"/>
      <c r="G110" s="14"/>
    </row>
    <row r="111" ht="15.75" customHeight="1">
      <c r="B111" s="14"/>
      <c r="C111" s="14"/>
      <c r="D111" s="14"/>
      <c r="E111" s="14"/>
      <c r="F111" s="14"/>
      <c r="G111" s="14"/>
    </row>
    <row r="112" ht="15.75" customHeight="1">
      <c r="B112" s="14"/>
      <c r="C112" s="14"/>
      <c r="D112" s="14"/>
      <c r="E112" s="14"/>
      <c r="F112" s="14"/>
      <c r="G112" s="14"/>
    </row>
    <row r="113" ht="15.75" customHeight="1">
      <c r="B113" s="14"/>
      <c r="C113" s="14"/>
      <c r="D113" s="14"/>
      <c r="E113" s="14"/>
      <c r="F113" s="14"/>
      <c r="G113" s="14"/>
    </row>
    <row r="114" ht="15.75" customHeight="1">
      <c r="B114" s="14"/>
      <c r="C114" s="14"/>
      <c r="D114" s="14"/>
      <c r="E114" s="14"/>
      <c r="F114" s="14"/>
      <c r="G114" s="14"/>
    </row>
    <row r="115" ht="15.75" customHeight="1">
      <c r="B115" s="14"/>
      <c r="C115" s="14"/>
      <c r="D115" s="14"/>
      <c r="E115" s="14"/>
      <c r="F115" s="14"/>
      <c r="G115" s="14"/>
    </row>
    <row r="116" ht="15.75" customHeight="1">
      <c r="B116" s="14"/>
      <c r="C116" s="14"/>
      <c r="D116" s="14"/>
      <c r="E116" s="14"/>
      <c r="F116" s="14"/>
      <c r="G116" s="14"/>
    </row>
    <row r="117" ht="15.75" customHeight="1">
      <c r="B117" s="14"/>
      <c r="C117" s="14"/>
      <c r="D117" s="14"/>
      <c r="E117" s="14"/>
      <c r="F117" s="14"/>
      <c r="G117" s="14"/>
    </row>
    <row r="118" ht="15.75" customHeight="1">
      <c r="B118" s="14"/>
      <c r="C118" s="14"/>
      <c r="D118" s="14"/>
      <c r="E118" s="14"/>
      <c r="F118" s="14"/>
      <c r="G118" s="14"/>
    </row>
    <row r="119" ht="15.75" customHeight="1">
      <c r="B119" s="14"/>
      <c r="C119" s="14"/>
      <c r="D119" s="14"/>
      <c r="E119" s="14"/>
      <c r="F119" s="14"/>
      <c r="G119" s="14"/>
    </row>
    <row r="120" ht="15.75" customHeight="1">
      <c r="B120" s="14"/>
      <c r="C120" s="14"/>
      <c r="D120" s="14"/>
      <c r="E120" s="14"/>
      <c r="F120" s="14"/>
      <c r="G120" s="14"/>
    </row>
    <row r="121" ht="15.75" customHeight="1">
      <c r="B121" s="14"/>
      <c r="C121" s="14"/>
      <c r="D121" s="14"/>
      <c r="E121" s="14"/>
      <c r="F121" s="14"/>
      <c r="G121" s="14"/>
    </row>
    <row r="122" ht="15.75" customHeight="1">
      <c r="B122" s="14"/>
      <c r="C122" s="14"/>
      <c r="D122" s="14"/>
      <c r="E122" s="14"/>
      <c r="F122" s="14"/>
      <c r="G122" s="14"/>
    </row>
    <row r="123" ht="15.75" customHeight="1">
      <c r="B123" s="14"/>
      <c r="C123" s="14"/>
      <c r="D123" s="14"/>
      <c r="E123" s="14"/>
      <c r="F123" s="14"/>
      <c r="G123" s="14"/>
    </row>
    <row r="124" ht="15.75" customHeight="1">
      <c r="B124" s="14"/>
      <c r="C124" s="14"/>
      <c r="D124" s="14"/>
      <c r="E124" s="14"/>
      <c r="F124" s="14"/>
      <c r="G124" s="14"/>
    </row>
    <row r="125" ht="15.75" customHeight="1">
      <c r="B125" s="14"/>
      <c r="C125" s="14"/>
      <c r="D125" s="14"/>
      <c r="E125" s="14"/>
      <c r="F125" s="14"/>
      <c r="G125" s="14"/>
    </row>
    <row r="126" ht="15.75" customHeight="1">
      <c r="B126" s="14"/>
      <c r="C126" s="14"/>
      <c r="D126" s="14"/>
      <c r="E126" s="14"/>
      <c r="F126" s="14"/>
      <c r="G126" s="14"/>
    </row>
    <row r="127" ht="15.75" customHeight="1">
      <c r="B127" s="14"/>
      <c r="C127" s="14"/>
      <c r="D127" s="14"/>
      <c r="E127" s="14"/>
      <c r="F127" s="14"/>
      <c r="G127" s="14"/>
    </row>
    <row r="128" ht="15.75" customHeight="1">
      <c r="B128" s="14"/>
      <c r="C128" s="14"/>
      <c r="D128" s="14"/>
      <c r="E128" s="14"/>
      <c r="F128" s="14"/>
      <c r="G128" s="14"/>
    </row>
    <row r="129" ht="15.75" customHeight="1">
      <c r="B129" s="14"/>
      <c r="C129" s="14"/>
      <c r="D129" s="14"/>
      <c r="E129" s="14"/>
      <c r="F129" s="14"/>
      <c r="G129" s="14"/>
    </row>
    <row r="130" ht="15.75" customHeight="1">
      <c r="B130" s="14"/>
      <c r="C130" s="14"/>
      <c r="D130" s="14"/>
      <c r="E130" s="14"/>
      <c r="F130" s="14"/>
      <c r="G130" s="14"/>
    </row>
    <row r="131" ht="15.75" customHeight="1">
      <c r="B131" s="14"/>
      <c r="C131" s="14"/>
      <c r="D131" s="14"/>
      <c r="E131" s="14"/>
      <c r="F131" s="14"/>
      <c r="G131" s="14"/>
    </row>
    <row r="132" ht="15.75" customHeight="1">
      <c r="B132" s="14"/>
      <c r="C132" s="14"/>
      <c r="D132" s="14"/>
      <c r="E132" s="14"/>
      <c r="F132" s="14"/>
      <c r="G132" s="14"/>
    </row>
    <row r="133" ht="15.75" customHeight="1">
      <c r="B133" s="14"/>
      <c r="C133" s="14"/>
      <c r="D133" s="14"/>
      <c r="E133" s="14"/>
      <c r="F133" s="14"/>
      <c r="G133" s="14"/>
    </row>
    <row r="134" ht="15.75" customHeight="1">
      <c r="B134" s="14"/>
      <c r="C134" s="14"/>
      <c r="D134" s="14"/>
      <c r="E134" s="14"/>
      <c r="F134" s="14"/>
      <c r="G134" s="14"/>
    </row>
    <row r="135" ht="15.75" customHeight="1">
      <c r="B135" s="14"/>
      <c r="C135" s="14"/>
      <c r="D135" s="14"/>
      <c r="E135" s="14"/>
      <c r="F135" s="14"/>
      <c r="G135" s="14"/>
    </row>
    <row r="136" ht="15.75" customHeight="1">
      <c r="B136" s="14"/>
      <c r="C136" s="14"/>
      <c r="D136" s="14"/>
      <c r="E136" s="14"/>
      <c r="F136" s="14"/>
      <c r="G136" s="14"/>
    </row>
    <row r="137" ht="15.75" customHeight="1">
      <c r="B137" s="14"/>
      <c r="C137" s="14"/>
      <c r="D137" s="14"/>
      <c r="E137" s="14"/>
      <c r="F137" s="14"/>
      <c r="G137" s="14"/>
    </row>
    <row r="138" ht="15.75" customHeight="1">
      <c r="B138" s="14"/>
      <c r="C138" s="14"/>
      <c r="D138" s="14"/>
      <c r="E138" s="14"/>
      <c r="F138" s="14"/>
      <c r="G138" s="14"/>
    </row>
    <row r="139" ht="15.75" customHeight="1">
      <c r="B139" s="14"/>
      <c r="C139" s="14"/>
      <c r="D139" s="14"/>
      <c r="E139" s="14"/>
      <c r="F139" s="14"/>
      <c r="G139" s="14"/>
    </row>
    <row r="140" ht="15.75" customHeight="1">
      <c r="B140" s="14"/>
      <c r="C140" s="14"/>
      <c r="D140" s="14"/>
      <c r="E140" s="14"/>
      <c r="F140" s="14"/>
      <c r="G140" s="14"/>
    </row>
    <row r="141" ht="15.75" customHeight="1">
      <c r="B141" s="14"/>
      <c r="C141" s="14"/>
      <c r="D141" s="14"/>
      <c r="E141" s="14"/>
      <c r="F141" s="14"/>
      <c r="G141" s="14"/>
    </row>
    <row r="142" ht="15.75" customHeight="1">
      <c r="B142" s="14"/>
      <c r="C142" s="14"/>
      <c r="D142" s="14"/>
      <c r="E142" s="14"/>
      <c r="F142" s="14"/>
      <c r="G142" s="14"/>
    </row>
    <row r="143" ht="15.75" customHeight="1">
      <c r="B143" s="14"/>
      <c r="C143" s="14"/>
      <c r="D143" s="14"/>
      <c r="E143" s="14"/>
      <c r="F143" s="14"/>
      <c r="G143" s="14"/>
    </row>
    <row r="144" ht="15.75" customHeight="1">
      <c r="B144" s="14"/>
      <c r="C144" s="14"/>
      <c r="D144" s="14"/>
      <c r="E144" s="14"/>
      <c r="F144" s="14"/>
      <c r="G144" s="14"/>
    </row>
    <row r="145" ht="15.75" customHeight="1">
      <c r="B145" s="14"/>
      <c r="C145" s="14"/>
      <c r="D145" s="14"/>
      <c r="E145" s="14"/>
      <c r="F145" s="14"/>
      <c r="G145" s="14"/>
    </row>
    <row r="146" ht="15.75" customHeight="1">
      <c r="B146" s="14"/>
      <c r="C146" s="14"/>
      <c r="D146" s="14"/>
      <c r="E146" s="14"/>
      <c r="F146" s="14"/>
      <c r="G146" s="14"/>
    </row>
    <row r="147" ht="15.75" customHeight="1">
      <c r="B147" s="14"/>
      <c r="C147" s="14"/>
      <c r="D147" s="14"/>
      <c r="E147" s="14"/>
      <c r="F147" s="14"/>
      <c r="G147" s="14"/>
    </row>
    <row r="148" ht="15.75" customHeight="1">
      <c r="B148" s="14"/>
      <c r="C148" s="14"/>
      <c r="D148" s="14"/>
      <c r="E148" s="14"/>
      <c r="F148" s="14"/>
      <c r="G148" s="14"/>
    </row>
    <row r="149" ht="15.75" customHeight="1">
      <c r="B149" s="14"/>
      <c r="C149" s="14"/>
      <c r="D149" s="14"/>
      <c r="E149" s="14"/>
      <c r="F149" s="14"/>
      <c r="G149" s="14"/>
    </row>
    <row r="150" ht="15.75" customHeight="1">
      <c r="B150" s="14"/>
      <c r="C150" s="14"/>
      <c r="D150" s="14"/>
      <c r="E150" s="14"/>
      <c r="F150" s="14"/>
      <c r="G150" s="14"/>
    </row>
    <row r="151" ht="15.75" customHeight="1">
      <c r="B151" s="14"/>
      <c r="C151" s="14"/>
      <c r="D151" s="14"/>
      <c r="E151" s="14"/>
      <c r="F151" s="14"/>
      <c r="G151" s="14"/>
    </row>
    <row r="152" ht="15.75" customHeight="1">
      <c r="B152" s="14"/>
      <c r="C152" s="14"/>
      <c r="D152" s="14"/>
      <c r="E152" s="14"/>
      <c r="F152" s="14"/>
      <c r="G152" s="14"/>
    </row>
    <row r="153" ht="15.75" customHeight="1">
      <c r="B153" s="14"/>
      <c r="C153" s="14"/>
      <c r="D153" s="14"/>
      <c r="E153" s="14"/>
      <c r="F153" s="14"/>
      <c r="G153" s="14"/>
    </row>
    <row r="154" ht="15.75" customHeight="1">
      <c r="B154" s="14"/>
      <c r="C154" s="14"/>
      <c r="D154" s="14"/>
      <c r="E154" s="14"/>
      <c r="F154" s="14"/>
      <c r="G154" s="14"/>
    </row>
    <row r="155" ht="15.75" customHeight="1">
      <c r="B155" s="14"/>
      <c r="C155" s="14"/>
      <c r="D155" s="14"/>
      <c r="E155" s="14"/>
      <c r="F155" s="14"/>
      <c r="G155" s="14"/>
    </row>
    <row r="156" ht="15.75" customHeight="1">
      <c r="B156" s="14"/>
      <c r="C156" s="14"/>
      <c r="D156" s="14"/>
      <c r="E156" s="14"/>
      <c r="F156" s="14"/>
      <c r="G156" s="14"/>
    </row>
    <row r="157" ht="15.75" customHeight="1">
      <c r="B157" s="14"/>
      <c r="C157" s="14"/>
      <c r="D157" s="14"/>
      <c r="E157" s="14"/>
      <c r="F157" s="14"/>
      <c r="G157" s="14"/>
    </row>
    <row r="158" ht="15.75" customHeight="1">
      <c r="B158" s="14"/>
      <c r="C158" s="14"/>
      <c r="D158" s="14"/>
      <c r="E158" s="14"/>
      <c r="F158" s="14"/>
      <c r="G158" s="14"/>
    </row>
    <row r="159" ht="15.75" customHeight="1">
      <c r="B159" s="14"/>
      <c r="C159" s="14"/>
      <c r="D159" s="14"/>
      <c r="E159" s="14"/>
      <c r="F159" s="14"/>
      <c r="G159" s="14"/>
    </row>
    <row r="160" ht="15.75" customHeight="1">
      <c r="B160" s="14"/>
      <c r="C160" s="14"/>
      <c r="D160" s="14"/>
      <c r="E160" s="14"/>
      <c r="F160" s="14"/>
      <c r="G160" s="14"/>
    </row>
    <row r="161" ht="15.75" customHeight="1">
      <c r="B161" s="14"/>
      <c r="C161" s="14"/>
      <c r="D161" s="14"/>
      <c r="E161" s="14"/>
      <c r="F161" s="14"/>
      <c r="G161" s="14"/>
    </row>
    <row r="162" ht="15.75" customHeight="1">
      <c r="B162" s="14"/>
      <c r="C162" s="14"/>
      <c r="D162" s="14"/>
      <c r="E162" s="14"/>
      <c r="F162" s="14"/>
      <c r="G162" s="14"/>
    </row>
    <row r="163" ht="15.75" customHeight="1">
      <c r="B163" s="14"/>
      <c r="C163" s="14"/>
      <c r="D163" s="14"/>
      <c r="E163" s="14"/>
      <c r="F163" s="14"/>
      <c r="G163" s="14"/>
    </row>
    <row r="164" ht="15.75" customHeight="1">
      <c r="B164" s="14"/>
      <c r="C164" s="14"/>
      <c r="D164" s="14"/>
      <c r="E164" s="14"/>
      <c r="F164" s="14"/>
      <c r="G164" s="14"/>
    </row>
    <row r="165" ht="15.75" customHeight="1">
      <c r="B165" s="14"/>
      <c r="C165" s="14"/>
      <c r="D165" s="14"/>
      <c r="E165" s="14"/>
      <c r="F165" s="14"/>
      <c r="G165" s="14"/>
    </row>
    <row r="166" ht="15.75" customHeight="1">
      <c r="B166" s="14"/>
      <c r="C166" s="14"/>
      <c r="D166" s="14"/>
      <c r="E166" s="14"/>
      <c r="F166" s="14"/>
      <c r="G166" s="14"/>
    </row>
    <row r="167" ht="15.75" customHeight="1">
      <c r="B167" s="14"/>
      <c r="C167" s="14"/>
      <c r="D167" s="14"/>
      <c r="E167" s="14"/>
      <c r="F167" s="14"/>
      <c r="G167" s="14"/>
    </row>
    <row r="168" ht="15.75" customHeight="1">
      <c r="B168" s="14"/>
      <c r="C168" s="14"/>
      <c r="D168" s="14"/>
      <c r="E168" s="14"/>
      <c r="F168" s="14"/>
      <c r="G168" s="14"/>
    </row>
    <row r="169" ht="15.75" customHeight="1">
      <c r="B169" s="14"/>
      <c r="C169" s="14"/>
      <c r="D169" s="14"/>
      <c r="E169" s="14"/>
      <c r="F169" s="14"/>
      <c r="G169" s="14"/>
    </row>
    <row r="170" ht="15.75" customHeight="1">
      <c r="B170" s="14"/>
      <c r="C170" s="14"/>
      <c r="D170" s="14"/>
      <c r="E170" s="14"/>
      <c r="F170" s="14"/>
      <c r="G170" s="14"/>
    </row>
    <row r="171" ht="15.75" customHeight="1">
      <c r="B171" s="14"/>
      <c r="C171" s="14"/>
      <c r="D171" s="14"/>
      <c r="E171" s="14"/>
      <c r="F171" s="14"/>
      <c r="G171" s="14"/>
    </row>
    <row r="172" ht="15.75" customHeight="1">
      <c r="B172" s="14"/>
      <c r="C172" s="14"/>
      <c r="D172" s="14"/>
      <c r="E172" s="14"/>
      <c r="F172" s="14"/>
      <c r="G172" s="14"/>
    </row>
    <row r="173" ht="15.75" customHeight="1">
      <c r="B173" s="14"/>
      <c r="C173" s="14"/>
      <c r="D173" s="14"/>
      <c r="E173" s="14"/>
      <c r="F173" s="14"/>
      <c r="G173" s="14"/>
    </row>
    <row r="174" ht="15.75" customHeight="1">
      <c r="B174" s="14"/>
      <c r="C174" s="14"/>
      <c r="D174" s="14"/>
      <c r="E174" s="14"/>
      <c r="F174" s="14"/>
      <c r="G174" s="14"/>
    </row>
    <row r="175" ht="15.75" customHeight="1">
      <c r="B175" s="14"/>
      <c r="C175" s="14"/>
      <c r="D175" s="14"/>
      <c r="E175" s="14"/>
      <c r="F175" s="14"/>
      <c r="G175" s="14"/>
    </row>
    <row r="176" ht="15.75" customHeight="1">
      <c r="B176" s="14"/>
      <c r="C176" s="14"/>
      <c r="D176" s="14"/>
      <c r="E176" s="14"/>
      <c r="F176" s="14"/>
      <c r="G176" s="14"/>
    </row>
    <row r="177" ht="15.75" customHeight="1">
      <c r="B177" s="14"/>
      <c r="C177" s="14"/>
      <c r="D177" s="14"/>
      <c r="E177" s="14"/>
      <c r="F177" s="14"/>
      <c r="G177" s="14"/>
    </row>
    <row r="178" ht="15.75" customHeight="1">
      <c r="B178" s="14"/>
      <c r="C178" s="14"/>
      <c r="D178" s="14"/>
      <c r="E178" s="14"/>
      <c r="F178" s="14"/>
      <c r="G178" s="14"/>
    </row>
    <row r="179" ht="15.75" customHeight="1">
      <c r="B179" s="14"/>
      <c r="C179" s="14"/>
      <c r="D179" s="14"/>
      <c r="E179" s="14"/>
      <c r="F179" s="14"/>
      <c r="G179" s="14"/>
    </row>
    <row r="180" ht="15.75" customHeight="1">
      <c r="B180" s="14"/>
      <c r="C180" s="14"/>
      <c r="D180" s="14"/>
      <c r="E180" s="14"/>
      <c r="F180" s="14"/>
      <c r="G180" s="14"/>
    </row>
    <row r="181" ht="15.75" customHeight="1">
      <c r="B181" s="14"/>
      <c r="C181" s="14"/>
      <c r="D181" s="14"/>
      <c r="E181" s="14"/>
      <c r="F181" s="14"/>
      <c r="G181" s="14"/>
    </row>
    <row r="182" ht="15.75" customHeight="1">
      <c r="B182" s="14"/>
      <c r="C182" s="14"/>
      <c r="D182" s="14"/>
      <c r="E182" s="14"/>
      <c r="F182" s="14"/>
      <c r="G182" s="14"/>
    </row>
    <row r="183" ht="15.75" customHeight="1">
      <c r="B183" s="14"/>
      <c r="C183" s="14"/>
      <c r="D183" s="14"/>
      <c r="E183" s="14"/>
      <c r="F183" s="14"/>
      <c r="G183" s="14"/>
    </row>
    <row r="184" ht="15.75" customHeight="1">
      <c r="B184" s="14"/>
      <c r="C184" s="14"/>
      <c r="D184" s="14"/>
      <c r="E184" s="14"/>
      <c r="F184" s="14"/>
      <c r="G184" s="14"/>
    </row>
    <row r="185" ht="15.75" customHeight="1">
      <c r="B185" s="14"/>
      <c r="C185" s="14"/>
      <c r="D185" s="14"/>
      <c r="E185" s="14"/>
      <c r="F185" s="14"/>
      <c r="G185" s="14"/>
    </row>
    <row r="186" ht="15.75" customHeight="1">
      <c r="B186" s="14"/>
      <c r="C186" s="14"/>
      <c r="D186" s="14"/>
      <c r="E186" s="14"/>
      <c r="F186" s="14"/>
      <c r="G186" s="14"/>
    </row>
    <row r="187" ht="15.75" customHeight="1">
      <c r="B187" s="14"/>
      <c r="C187" s="14"/>
      <c r="D187" s="14"/>
      <c r="E187" s="14"/>
      <c r="F187" s="14"/>
      <c r="G187" s="14"/>
    </row>
    <row r="188" ht="15.75" customHeight="1">
      <c r="B188" s="14"/>
      <c r="C188" s="14"/>
      <c r="D188" s="14"/>
      <c r="E188" s="14"/>
      <c r="F188" s="14"/>
      <c r="G188" s="14"/>
    </row>
    <row r="189" ht="15.75" customHeight="1">
      <c r="B189" s="14"/>
      <c r="C189" s="14"/>
      <c r="D189" s="14"/>
      <c r="E189" s="14"/>
      <c r="F189" s="14"/>
      <c r="G189" s="14"/>
    </row>
    <row r="190" ht="15.75" customHeight="1">
      <c r="B190" s="14"/>
      <c r="C190" s="14"/>
      <c r="D190" s="14"/>
      <c r="E190" s="14"/>
      <c r="F190" s="14"/>
      <c r="G190" s="14"/>
    </row>
    <row r="191" ht="15.75" customHeight="1">
      <c r="B191" s="14"/>
      <c r="C191" s="14"/>
      <c r="D191" s="14"/>
      <c r="E191" s="14"/>
      <c r="F191" s="14"/>
      <c r="G191" s="14"/>
    </row>
    <row r="192" ht="15.75" customHeight="1">
      <c r="B192" s="14"/>
      <c r="C192" s="14"/>
      <c r="D192" s="14"/>
      <c r="E192" s="14"/>
      <c r="F192" s="14"/>
      <c r="G192" s="14"/>
    </row>
    <row r="193" ht="15.75" customHeight="1">
      <c r="B193" s="14"/>
      <c r="C193" s="14"/>
      <c r="D193" s="14"/>
      <c r="E193" s="14"/>
      <c r="F193" s="14"/>
      <c r="G193" s="14"/>
    </row>
    <row r="194" ht="15.75" customHeight="1">
      <c r="B194" s="14"/>
      <c r="C194" s="14"/>
      <c r="D194" s="14"/>
      <c r="E194" s="14"/>
      <c r="F194" s="14"/>
      <c r="G194" s="14"/>
    </row>
    <row r="195" ht="15.75" customHeight="1">
      <c r="B195" s="14"/>
      <c r="C195" s="14"/>
      <c r="D195" s="14"/>
      <c r="E195" s="14"/>
      <c r="F195" s="14"/>
      <c r="G195" s="14"/>
    </row>
    <row r="196" ht="15.75" customHeight="1">
      <c r="B196" s="14"/>
      <c r="C196" s="14"/>
      <c r="D196" s="14"/>
      <c r="E196" s="14"/>
      <c r="F196" s="14"/>
      <c r="G196" s="14"/>
    </row>
    <row r="197" ht="15.75" customHeight="1">
      <c r="B197" s="14"/>
      <c r="C197" s="14"/>
      <c r="D197" s="14"/>
      <c r="E197" s="14"/>
      <c r="F197" s="14"/>
      <c r="G197" s="14"/>
    </row>
    <row r="198" ht="15.75" customHeight="1">
      <c r="B198" s="14"/>
      <c r="C198" s="14"/>
      <c r="D198" s="14"/>
      <c r="E198" s="14"/>
      <c r="F198" s="14"/>
      <c r="G198" s="14"/>
    </row>
    <row r="199" ht="15.75" customHeight="1">
      <c r="B199" s="14"/>
      <c r="C199" s="14"/>
      <c r="D199" s="14"/>
      <c r="E199" s="14"/>
      <c r="F199" s="14"/>
      <c r="G199" s="14"/>
    </row>
    <row r="200" ht="15.75" customHeight="1">
      <c r="B200" s="14"/>
      <c r="C200" s="14"/>
      <c r="D200" s="14"/>
      <c r="E200" s="14"/>
      <c r="F200" s="14"/>
      <c r="G200" s="14"/>
    </row>
    <row r="201" ht="15.75" customHeight="1">
      <c r="B201" s="14"/>
      <c r="C201" s="14"/>
      <c r="D201" s="14"/>
      <c r="E201" s="14"/>
      <c r="F201" s="14"/>
      <c r="G201" s="14"/>
    </row>
    <row r="202" ht="15.75" customHeight="1">
      <c r="B202" s="14"/>
      <c r="C202" s="14"/>
      <c r="D202" s="14"/>
      <c r="E202" s="14"/>
      <c r="F202" s="14"/>
      <c r="G202" s="14"/>
    </row>
    <row r="203" ht="15.75" customHeight="1">
      <c r="B203" s="14"/>
      <c r="C203" s="14"/>
      <c r="D203" s="14"/>
      <c r="E203" s="14"/>
      <c r="F203" s="14"/>
      <c r="G203" s="14"/>
    </row>
    <row r="204" ht="15.75" customHeight="1">
      <c r="B204" s="14"/>
      <c r="C204" s="14"/>
      <c r="D204" s="14"/>
      <c r="E204" s="14"/>
      <c r="F204" s="14"/>
      <c r="G204" s="14"/>
    </row>
    <row r="205" ht="15.75" customHeight="1">
      <c r="B205" s="14"/>
      <c r="C205" s="14"/>
      <c r="D205" s="14"/>
      <c r="E205" s="14"/>
      <c r="F205" s="14"/>
      <c r="G205" s="14"/>
    </row>
    <row r="206" ht="15.75" customHeight="1">
      <c r="B206" s="14"/>
      <c r="C206" s="14"/>
      <c r="D206" s="14"/>
      <c r="E206" s="14"/>
      <c r="F206" s="14"/>
      <c r="G206" s="14"/>
    </row>
    <row r="207" ht="15.75" customHeight="1">
      <c r="B207" s="14"/>
      <c r="C207" s="14"/>
      <c r="D207" s="14"/>
      <c r="E207" s="14"/>
      <c r="F207" s="14"/>
      <c r="G207" s="14"/>
    </row>
    <row r="208" ht="15.75" customHeight="1">
      <c r="B208" s="14"/>
      <c r="C208" s="14"/>
      <c r="D208" s="14"/>
      <c r="E208" s="14"/>
      <c r="F208" s="14"/>
      <c r="G208" s="14"/>
    </row>
    <row r="209" ht="15.75" customHeight="1">
      <c r="B209" s="14"/>
      <c r="C209" s="14"/>
      <c r="D209" s="14"/>
      <c r="E209" s="14"/>
      <c r="F209" s="14"/>
      <c r="G209" s="14"/>
    </row>
    <row r="210" ht="15.75" customHeight="1">
      <c r="B210" s="14"/>
      <c r="C210" s="14"/>
      <c r="D210" s="14"/>
      <c r="E210" s="14"/>
      <c r="F210" s="14"/>
      <c r="G210" s="14"/>
    </row>
    <row r="211" ht="15.75" customHeight="1">
      <c r="B211" s="14"/>
      <c r="C211" s="14"/>
      <c r="D211" s="14"/>
      <c r="E211" s="14"/>
      <c r="F211" s="14"/>
      <c r="G211" s="14"/>
    </row>
    <row r="212" ht="15.75" customHeight="1">
      <c r="B212" s="14"/>
      <c r="C212" s="14"/>
      <c r="D212" s="14"/>
      <c r="E212" s="14"/>
      <c r="F212" s="14"/>
      <c r="G212" s="14"/>
    </row>
    <row r="213" ht="15.75" customHeight="1">
      <c r="B213" s="14"/>
      <c r="C213" s="14"/>
      <c r="D213" s="14"/>
      <c r="E213" s="14"/>
      <c r="F213" s="14"/>
      <c r="G213" s="14"/>
    </row>
    <row r="214" ht="15.75" customHeight="1">
      <c r="B214" s="14"/>
      <c r="C214" s="14"/>
      <c r="D214" s="14"/>
      <c r="E214" s="14"/>
      <c r="F214" s="14"/>
      <c r="G214" s="14"/>
    </row>
    <row r="215" ht="15.75" customHeight="1">
      <c r="B215" s="14"/>
      <c r="C215" s="14"/>
      <c r="D215" s="14"/>
      <c r="E215" s="14"/>
      <c r="F215" s="14"/>
      <c r="G215" s="14"/>
    </row>
    <row r="216" ht="15.75" customHeight="1">
      <c r="B216" s="14"/>
      <c r="C216" s="14"/>
      <c r="D216" s="14"/>
      <c r="E216" s="14"/>
      <c r="F216" s="14"/>
      <c r="G216" s="14"/>
    </row>
    <row r="217" ht="15.75" customHeight="1">
      <c r="B217" s="14"/>
      <c r="C217" s="14"/>
      <c r="D217" s="14"/>
      <c r="E217" s="14"/>
      <c r="F217" s="14"/>
      <c r="G217" s="14"/>
    </row>
    <row r="218" ht="15.75" customHeight="1">
      <c r="B218" s="14"/>
      <c r="C218" s="14"/>
      <c r="D218" s="14"/>
      <c r="E218" s="14"/>
      <c r="F218" s="14"/>
      <c r="G218" s="14"/>
    </row>
    <row r="219" ht="15.75" customHeight="1">
      <c r="B219" s="14"/>
      <c r="C219" s="14"/>
      <c r="D219" s="14"/>
      <c r="E219" s="14"/>
      <c r="F219" s="14"/>
      <c r="G219" s="14"/>
    </row>
    <row r="220" ht="15.75" customHeight="1">
      <c r="B220" s="14"/>
      <c r="C220" s="14"/>
      <c r="D220" s="14"/>
      <c r="E220" s="14"/>
      <c r="F220" s="14"/>
      <c r="G220" s="14"/>
    </row>
    <row r="221" ht="15.75" customHeight="1">
      <c r="B221" s="14"/>
      <c r="C221" s="14"/>
      <c r="D221" s="14"/>
      <c r="E221" s="14"/>
      <c r="F221" s="14"/>
      <c r="G221" s="14"/>
    </row>
    <row r="222" ht="15.75" customHeight="1">
      <c r="B222" s="14"/>
      <c r="C222" s="14"/>
      <c r="D222" s="14"/>
      <c r="E222" s="14"/>
      <c r="F222" s="14"/>
      <c r="G222" s="14"/>
    </row>
    <row r="223" ht="15.75" customHeight="1">
      <c r="B223" s="14"/>
      <c r="C223" s="14"/>
      <c r="D223" s="14"/>
      <c r="E223" s="14"/>
      <c r="F223" s="14"/>
      <c r="G223" s="14"/>
    </row>
    <row r="224" ht="15.75" customHeight="1">
      <c r="B224" s="14"/>
      <c r="C224" s="14"/>
      <c r="D224" s="14"/>
      <c r="E224" s="14"/>
      <c r="F224" s="14"/>
      <c r="G224" s="14"/>
    </row>
    <row r="225" ht="15.75" customHeight="1">
      <c r="B225" s="14"/>
      <c r="C225" s="14"/>
      <c r="D225" s="14"/>
      <c r="E225" s="14"/>
      <c r="F225" s="14"/>
      <c r="G225" s="14"/>
    </row>
    <row r="226" ht="15.75" customHeight="1">
      <c r="B226" s="14"/>
      <c r="C226" s="14"/>
      <c r="D226" s="14"/>
      <c r="E226" s="14"/>
      <c r="F226" s="14"/>
      <c r="G226" s="14"/>
    </row>
    <row r="227" ht="15.75" customHeight="1">
      <c r="B227" s="14"/>
      <c r="C227" s="14"/>
      <c r="D227" s="14"/>
      <c r="E227" s="14"/>
      <c r="F227" s="14"/>
      <c r="G227" s="14"/>
    </row>
    <row r="228" ht="15.75" customHeight="1">
      <c r="B228" s="14"/>
      <c r="C228" s="14"/>
      <c r="D228" s="14"/>
      <c r="E228" s="14"/>
      <c r="F228" s="14"/>
      <c r="G228" s="14"/>
    </row>
    <row r="229" ht="15.75" customHeight="1">
      <c r="B229" s="14"/>
      <c r="C229" s="14"/>
      <c r="D229" s="14"/>
      <c r="E229" s="14"/>
      <c r="F229" s="14"/>
      <c r="G229" s="14"/>
    </row>
    <row r="230" ht="15.75" customHeight="1">
      <c r="B230" s="14"/>
      <c r="C230" s="14"/>
      <c r="D230" s="14"/>
      <c r="E230" s="14"/>
      <c r="F230" s="14"/>
      <c r="G230" s="14"/>
    </row>
    <row r="231" ht="15.75" customHeight="1">
      <c r="B231" s="14"/>
      <c r="C231" s="14"/>
      <c r="D231" s="14"/>
      <c r="E231" s="14"/>
      <c r="F231" s="14"/>
      <c r="G231" s="14"/>
    </row>
    <row r="232" ht="15.75" customHeight="1">
      <c r="B232" s="14"/>
      <c r="C232" s="14"/>
      <c r="D232" s="14"/>
      <c r="E232" s="14"/>
      <c r="F232" s="14"/>
      <c r="G232" s="14"/>
    </row>
    <row r="233" ht="15.75" customHeight="1">
      <c r="B233" s="14"/>
      <c r="C233" s="14"/>
      <c r="D233" s="14"/>
      <c r="E233" s="14"/>
      <c r="F233" s="14"/>
      <c r="G233" s="14"/>
    </row>
    <row r="234" ht="15.75" customHeight="1">
      <c r="B234" s="14"/>
      <c r="C234" s="14"/>
      <c r="D234" s="14"/>
      <c r="E234" s="14"/>
      <c r="F234" s="14"/>
      <c r="G234" s="14"/>
    </row>
    <row r="235" ht="15.75" customHeight="1">
      <c r="B235" s="14"/>
      <c r="C235" s="14"/>
      <c r="D235" s="14"/>
      <c r="E235" s="14"/>
      <c r="F235" s="14"/>
      <c r="G235" s="14"/>
    </row>
    <row r="236" ht="15.75" customHeight="1">
      <c r="B236" s="14"/>
      <c r="C236" s="14"/>
      <c r="D236" s="14"/>
      <c r="E236" s="14"/>
      <c r="F236" s="14"/>
      <c r="G236" s="14"/>
    </row>
    <row r="237" ht="15.75" customHeight="1">
      <c r="B237" s="14"/>
      <c r="C237" s="14"/>
      <c r="D237" s="14"/>
      <c r="E237" s="14"/>
      <c r="F237" s="14"/>
      <c r="G237" s="14"/>
    </row>
    <row r="238" ht="15.75" customHeight="1">
      <c r="B238" s="14"/>
      <c r="C238" s="14"/>
      <c r="D238" s="14"/>
      <c r="E238" s="14"/>
      <c r="F238" s="14"/>
      <c r="G238" s="14"/>
    </row>
    <row r="239" ht="15.75" customHeight="1">
      <c r="B239" s="14"/>
      <c r="C239" s="14"/>
      <c r="D239" s="14"/>
      <c r="E239" s="14"/>
      <c r="F239" s="14"/>
      <c r="G239" s="14"/>
    </row>
    <row r="240" ht="15.75" customHeight="1">
      <c r="B240" s="14"/>
      <c r="C240" s="14"/>
      <c r="D240" s="14"/>
      <c r="E240" s="14"/>
      <c r="F240" s="14"/>
      <c r="G240" s="14"/>
    </row>
    <row r="241" ht="15.75" customHeight="1">
      <c r="B241" s="14"/>
      <c r="C241" s="14"/>
      <c r="D241" s="14"/>
      <c r="E241" s="14"/>
      <c r="F241" s="14"/>
      <c r="G241" s="14"/>
    </row>
    <row r="242" ht="15.75" customHeight="1">
      <c r="B242" s="14"/>
      <c r="C242" s="14"/>
      <c r="D242" s="14"/>
      <c r="E242" s="14"/>
      <c r="F242" s="14"/>
      <c r="G242" s="14"/>
    </row>
    <row r="243" ht="15.75" customHeight="1">
      <c r="B243" s="14"/>
      <c r="C243" s="14"/>
      <c r="D243" s="14"/>
      <c r="E243" s="14"/>
      <c r="F243" s="14"/>
      <c r="G243" s="14"/>
    </row>
    <row r="244" ht="15.75" customHeight="1">
      <c r="B244" s="14"/>
      <c r="C244" s="14"/>
      <c r="D244" s="14"/>
      <c r="E244" s="14"/>
      <c r="F244" s="14"/>
      <c r="G244" s="14"/>
    </row>
    <row r="245" ht="15.75" customHeight="1">
      <c r="B245" s="14"/>
      <c r="C245" s="14"/>
      <c r="D245" s="14"/>
      <c r="E245" s="14"/>
      <c r="F245" s="14"/>
      <c r="G245" s="14"/>
    </row>
    <row r="246" ht="15.75" customHeight="1">
      <c r="B246" s="14"/>
      <c r="C246" s="14"/>
      <c r="D246" s="14"/>
      <c r="E246" s="14"/>
      <c r="F246" s="14"/>
      <c r="G246" s="14"/>
    </row>
    <row r="247" ht="15.75" customHeight="1">
      <c r="B247" s="14"/>
      <c r="C247" s="14"/>
      <c r="D247" s="14"/>
      <c r="E247" s="14"/>
      <c r="F247" s="14"/>
      <c r="G247" s="14"/>
    </row>
    <row r="248" ht="15.75" customHeight="1">
      <c r="B248" s="14"/>
      <c r="C248" s="14"/>
      <c r="D248" s="14"/>
      <c r="E248" s="14"/>
      <c r="F248" s="14"/>
      <c r="G248" s="14"/>
    </row>
    <row r="249" ht="15.75" customHeight="1">
      <c r="B249" s="14"/>
      <c r="C249" s="14"/>
      <c r="D249" s="14"/>
      <c r="E249" s="14"/>
      <c r="F249" s="14"/>
      <c r="G249" s="14"/>
    </row>
    <row r="250" ht="15.75" customHeight="1">
      <c r="B250" s="14"/>
      <c r="C250" s="14"/>
      <c r="D250" s="14"/>
      <c r="E250" s="14"/>
      <c r="F250" s="14"/>
      <c r="G250" s="14"/>
    </row>
    <row r="251" ht="15.75" customHeight="1">
      <c r="B251" s="14"/>
      <c r="C251" s="14"/>
      <c r="D251" s="14"/>
      <c r="E251" s="14"/>
      <c r="F251" s="14"/>
      <c r="G251" s="14"/>
    </row>
    <row r="252" ht="15.75" customHeight="1">
      <c r="B252" s="14"/>
      <c r="C252" s="14"/>
      <c r="D252" s="14"/>
      <c r="E252" s="14"/>
      <c r="F252" s="14"/>
      <c r="G252" s="14"/>
    </row>
    <row r="253" ht="15.75" customHeight="1">
      <c r="B253" s="14"/>
      <c r="C253" s="14"/>
      <c r="D253" s="14"/>
      <c r="E253" s="14"/>
      <c r="F253" s="14"/>
      <c r="G253" s="14"/>
    </row>
    <row r="254" ht="15.75" customHeight="1">
      <c r="B254" s="14"/>
      <c r="C254" s="14"/>
      <c r="D254" s="14"/>
      <c r="E254" s="14"/>
      <c r="F254" s="14"/>
      <c r="G254" s="14"/>
    </row>
    <row r="255" ht="15.75" customHeight="1">
      <c r="B255" s="14"/>
      <c r="C255" s="14"/>
      <c r="D255" s="14"/>
      <c r="E255" s="14"/>
      <c r="F255" s="14"/>
      <c r="G255" s="14"/>
    </row>
    <row r="256" ht="15.75" customHeight="1">
      <c r="B256" s="14"/>
      <c r="C256" s="14"/>
      <c r="D256" s="14"/>
      <c r="E256" s="14"/>
      <c r="F256" s="14"/>
      <c r="G256" s="14"/>
    </row>
    <row r="257" ht="15.75" customHeight="1">
      <c r="B257" s="14"/>
      <c r="C257" s="14"/>
      <c r="D257" s="14"/>
      <c r="E257" s="14"/>
      <c r="F257" s="14"/>
      <c r="G257" s="14"/>
    </row>
    <row r="258" ht="15.75" customHeight="1">
      <c r="B258" s="14"/>
      <c r="C258" s="14"/>
      <c r="D258" s="14"/>
      <c r="E258" s="14"/>
      <c r="F258" s="14"/>
      <c r="G258" s="14"/>
    </row>
    <row r="259" ht="15.75" customHeight="1">
      <c r="B259" s="14"/>
      <c r="C259" s="14"/>
      <c r="D259" s="14"/>
      <c r="E259" s="14"/>
      <c r="F259" s="14"/>
      <c r="G259" s="14"/>
    </row>
    <row r="260" ht="15.75" customHeight="1">
      <c r="B260" s="14"/>
      <c r="C260" s="14"/>
      <c r="D260" s="14"/>
      <c r="E260" s="14"/>
      <c r="F260" s="14"/>
      <c r="G260" s="14"/>
    </row>
    <row r="261" ht="15.75" customHeight="1">
      <c r="B261" s="14"/>
      <c r="C261" s="14"/>
      <c r="D261" s="14"/>
      <c r="E261" s="14"/>
      <c r="F261" s="14"/>
      <c r="G261" s="14"/>
    </row>
    <row r="262" ht="15.75" customHeight="1">
      <c r="B262" s="14"/>
      <c r="C262" s="14"/>
      <c r="D262" s="14"/>
      <c r="E262" s="14"/>
      <c r="F262" s="14"/>
      <c r="G262" s="14"/>
    </row>
    <row r="263" ht="15.75" customHeight="1">
      <c r="B263" s="14"/>
      <c r="C263" s="14"/>
      <c r="D263" s="14"/>
      <c r="E263" s="14"/>
      <c r="F263" s="14"/>
      <c r="G263" s="14"/>
    </row>
    <row r="264" ht="15.75" customHeight="1">
      <c r="B264" s="14"/>
      <c r="C264" s="14"/>
      <c r="D264" s="14"/>
      <c r="E264" s="14"/>
      <c r="F264" s="14"/>
      <c r="G264" s="14"/>
    </row>
    <row r="265" ht="15.75" customHeight="1">
      <c r="B265" s="14"/>
      <c r="C265" s="14"/>
      <c r="D265" s="14"/>
      <c r="E265" s="14"/>
      <c r="F265" s="14"/>
      <c r="G265" s="14"/>
    </row>
    <row r="266" ht="15.75" customHeight="1">
      <c r="B266" s="14"/>
      <c r="C266" s="14"/>
      <c r="D266" s="14"/>
      <c r="E266" s="14"/>
      <c r="F266" s="14"/>
      <c r="G266" s="14"/>
    </row>
    <row r="267" ht="15.75" customHeight="1">
      <c r="B267" s="14"/>
      <c r="C267" s="14"/>
      <c r="D267" s="14"/>
      <c r="E267" s="14"/>
      <c r="F267" s="14"/>
      <c r="G267" s="14"/>
    </row>
    <row r="268" ht="15.75" customHeight="1">
      <c r="B268" s="14"/>
      <c r="C268" s="14"/>
      <c r="D268" s="14"/>
      <c r="E268" s="14"/>
      <c r="F268" s="14"/>
      <c r="G268" s="14"/>
    </row>
    <row r="269" ht="15.75" customHeight="1">
      <c r="B269" s="14"/>
      <c r="C269" s="14"/>
      <c r="D269" s="14"/>
      <c r="E269" s="14"/>
      <c r="F269" s="14"/>
      <c r="G269" s="14"/>
    </row>
    <row r="270" ht="15.75" customHeight="1">
      <c r="B270" s="14"/>
      <c r="C270" s="14"/>
      <c r="D270" s="14"/>
      <c r="E270" s="14"/>
      <c r="F270" s="14"/>
      <c r="G270" s="14"/>
    </row>
    <row r="271" ht="15.75" customHeight="1">
      <c r="B271" s="14"/>
      <c r="C271" s="14"/>
      <c r="D271" s="14"/>
      <c r="E271" s="14"/>
      <c r="F271" s="14"/>
      <c r="G271" s="14"/>
    </row>
    <row r="272" ht="15.75" customHeight="1">
      <c r="B272" s="14"/>
      <c r="C272" s="14"/>
      <c r="D272" s="14"/>
      <c r="E272" s="14"/>
      <c r="F272" s="14"/>
      <c r="G272" s="14"/>
    </row>
    <row r="273" ht="15.75" customHeight="1">
      <c r="B273" s="14"/>
      <c r="C273" s="14"/>
      <c r="D273" s="14"/>
      <c r="E273" s="14"/>
      <c r="F273" s="14"/>
      <c r="G273" s="14"/>
    </row>
    <row r="274" ht="15.75" customHeight="1">
      <c r="B274" s="14"/>
      <c r="C274" s="14"/>
      <c r="D274" s="14"/>
      <c r="E274" s="14"/>
      <c r="F274" s="14"/>
      <c r="G274" s="14"/>
    </row>
    <row r="275" ht="15.75" customHeight="1">
      <c r="B275" s="14"/>
      <c r="C275" s="14"/>
      <c r="D275" s="14"/>
      <c r="E275" s="14"/>
      <c r="F275" s="14"/>
      <c r="G275" s="14"/>
    </row>
    <row r="276" ht="15.75" customHeight="1">
      <c r="B276" s="14"/>
      <c r="C276" s="14"/>
      <c r="D276" s="14"/>
      <c r="E276" s="14"/>
      <c r="F276" s="14"/>
      <c r="G276" s="14"/>
    </row>
    <row r="277" ht="15.75" customHeight="1">
      <c r="B277" s="14"/>
      <c r="C277" s="14"/>
      <c r="D277" s="14"/>
      <c r="E277" s="14"/>
      <c r="F277" s="14"/>
      <c r="G277" s="14"/>
    </row>
    <row r="278" ht="15.75" customHeight="1">
      <c r="B278" s="14"/>
      <c r="C278" s="14"/>
      <c r="D278" s="14"/>
      <c r="E278" s="14"/>
      <c r="F278" s="14"/>
      <c r="G278" s="14"/>
    </row>
    <row r="279" ht="15.75" customHeight="1">
      <c r="B279" s="14"/>
      <c r="C279" s="14"/>
      <c r="D279" s="14"/>
      <c r="E279" s="14"/>
      <c r="F279" s="14"/>
      <c r="G279" s="14"/>
    </row>
    <row r="280" ht="15.75" customHeight="1">
      <c r="B280" s="14"/>
      <c r="C280" s="14"/>
      <c r="D280" s="14"/>
      <c r="E280" s="14"/>
      <c r="F280" s="14"/>
      <c r="G280" s="14"/>
    </row>
    <row r="281" ht="15.75" customHeight="1">
      <c r="B281" s="14"/>
      <c r="C281" s="14"/>
      <c r="D281" s="14"/>
      <c r="E281" s="14"/>
      <c r="F281" s="14"/>
      <c r="G281" s="14"/>
    </row>
    <row r="282" ht="15.75" customHeight="1">
      <c r="B282" s="14"/>
      <c r="C282" s="14"/>
      <c r="D282" s="14"/>
      <c r="E282" s="14"/>
      <c r="F282" s="14"/>
      <c r="G282" s="14"/>
    </row>
    <row r="283" ht="15.75" customHeight="1">
      <c r="B283" s="14"/>
      <c r="C283" s="14"/>
      <c r="D283" s="14"/>
      <c r="E283" s="14"/>
      <c r="F283" s="14"/>
      <c r="G283" s="14"/>
    </row>
    <row r="284" ht="15.75" customHeight="1">
      <c r="B284" s="14"/>
      <c r="C284" s="14"/>
      <c r="D284" s="14"/>
      <c r="E284" s="14"/>
      <c r="F284" s="14"/>
      <c r="G284" s="14"/>
    </row>
    <row r="285" ht="15.75" customHeight="1">
      <c r="B285" s="14"/>
      <c r="C285" s="14"/>
      <c r="D285" s="14"/>
      <c r="E285" s="14"/>
      <c r="F285" s="14"/>
      <c r="G285" s="14"/>
    </row>
    <row r="286" ht="15.75" customHeight="1">
      <c r="B286" s="14"/>
      <c r="C286" s="14"/>
      <c r="D286" s="14"/>
      <c r="E286" s="14"/>
      <c r="F286" s="14"/>
      <c r="G286" s="14"/>
    </row>
    <row r="287" ht="15.75" customHeight="1">
      <c r="B287" s="14"/>
      <c r="C287" s="14"/>
      <c r="D287" s="14"/>
      <c r="E287" s="14"/>
      <c r="F287" s="14"/>
      <c r="G287" s="14"/>
    </row>
    <row r="288" ht="15.75" customHeight="1">
      <c r="B288" s="14"/>
      <c r="C288" s="14"/>
      <c r="D288" s="14"/>
      <c r="E288" s="14"/>
      <c r="F288" s="14"/>
      <c r="G288" s="14"/>
    </row>
    <row r="289" ht="15.75" customHeight="1">
      <c r="B289" s="14"/>
      <c r="C289" s="14"/>
      <c r="D289" s="14"/>
      <c r="E289" s="14"/>
      <c r="F289" s="14"/>
      <c r="G289" s="14"/>
    </row>
    <row r="290" ht="15.75" customHeight="1">
      <c r="B290" s="14"/>
      <c r="C290" s="14"/>
      <c r="D290" s="14"/>
      <c r="E290" s="14"/>
      <c r="F290" s="14"/>
      <c r="G290" s="14"/>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38.5"/>
  </cols>
  <sheetData>
    <row r="1" ht="15.75" customHeight="1">
      <c r="A1" s="1" t="s">
        <v>162</v>
      </c>
      <c r="B1" s="13">
        <f>'Assumptions and Control Panel'!K2</f>
        <v>0.000000001862645149</v>
      </c>
      <c r="C1" s="13"/>
      <c r="D1" s="14"/>
      <c r="E1" s="14"/>
      <c r="F1" s="14"/>
      <c r="G1" s="14"/>
      <c r="H1" s="1" t="s">
        <v>163</v>
      </c>
    </row>
    <row r="2" ht="15.75" customHeight="1">
      <c r="A2" s="1" t="s">
        <v>196</v>
      </c>
      <c r="B2" s="72">
        <v>2019.0</v>
      </c>
      <c r="C2" s="72">
        <v>2020.0</v>
      </c>
      <c r="D2" s="64">
        <v>2021.0</v>
      </c>
      <c r="E2" s="64">
        <v>2022.0</v>
      </c>
      <c r="F2" s="72">
        <v>2023.0</v>
      </c>
      <c r="G2" s="72">
        <v>2024.0</v>
      </c>
      <c r="H2" s="1">
        <v>2025.0</v>
      </c>
      <c r="I2" s="1">
        <v>2026.0</v>
      </c>
      <c r="J2" s="1">
        <v>2027.0</v>
      </c>
      <c r="K2" s="1">
        <v>2028.0</v>
      </c>
      <c r="L2" s="1">
        <v>2029.0</v>
      </c>
      <c r="M2" s="1">
        <v>2030.0</v>
      </c>
      <c r="N2" s="1">
        <v>2031.0</v>
      </c>
      <c r="O2" s="1">
        <v>2032.0</v>
      </c>
      <c r="P2" s="1">
        <v>2033.0</v>
      </c>
      <c r="Q2" s="1">
        <v>2034.0</v>
      </c>
    </row>
    <row r="3" ht="15.75" customHeight="1">
      <c r="A3" s="1" t="s">
        <v>197</v>
      </c>
      <c r="B3" s="13" t="s">
        <v>110</v>
      </c>
      <c r="C3" s="13">
        <v>1.0</v>
      </c>
      <c r="D3" s="14"/>
      <c r="E3" s="14"/>
      <c r="F3" s="21"/>
      <c r="G3" s="21"/>
    </row>
    <row r="4" ht="15.75" customHeight="1">
      <c r="A4" s="1" t="s">
        <v>198</v>
      </c>
      <c r="B4" s="21"/>
      <c r="C4" s="21"/>
      <c r="D4" s="14"/>
      <c r="E4" s="14"/>
      <c r="F4" s="21"/>
      <c r="G4" s="21"/>
    </row>
    <row r="5" ht="15.75" customHeight="1">
      <c r="A5" s="3" t="s">
        <v>199</v>
      </c>
      <c r="B5" s="23">
        <v>88408.0</v>
      </c>
      <c r="C5" s="23">
        <v>264798.0</v>
      </c>
      <c r="D5" s="22">
        <v>1918608.0</v>
      </c>
      <c r="E5" s="22">
        <v>1996633.0</v>
      </c>
      <c r="F5" s="23">
        <v>2455369.0</v>
      </c>
      <c r="G5" s="23">
        <v>3375069.0</v>
      </c>
      <c r="H5" s="57">
        <f>'Cash Flow Statement'!H68</f>
        <v>3850752.066</v>
      </c>
      <c r="I5" s="57">
        <f>'Cash Flow Statement'!I68</f>
        <v>4507029.152</v>
      </c>
      <c r="J5" s="57">
        <f>'Cash Flow Statement'!J68</f>
        <v>5561008.891</v>
      </c>
      <c r="K5" s="57">
        <f>'Cash Flow Statement'!K68</f>
        <v>7173668.054</v>
      </c>
      <c r="L5" s="57">
        <f>'Cash Flow Statement'!L68</f>
        <v>9446547.793</v>
      </c>
    </row>
    <row r="6" ht="15.75" customHeight="1">
      <c r="A6" s="68" t="s">
        <v>200</v>
      </c>
      <c r="B6" s="23">
        <v>103247.0</v>
      </c>
      <c r="C6" s="23">
        <v>647266.0</v>
      </c>
      <c r="D6" s="22">
        <v>0.0</v>
      </c>
      <c r="E6" s="22">
        <v>0.0</v>
      </c>
      <c r="F6" s="23">
        <v>250000.0</v>
      </c>
      <c r="G6" s="23">
        <v>99591.0</v>
      </c>
      <c r="H6" s="22">
        <v>101254.0</v>
      </c>
      <c r="I6" s="22">
        <f t="shared" ref="I6:L6" si="1">H6</f>
        <v>101254</v>
      </c>
      <c r="J6" s="22">
        <f t="shared" si="1"/>
        <v>101254</v>
      </c>
      <c r="K6" s="22">
        <f t="shared" si="1"/>
        <v>101254</v>
      </c>
      <c r="L6" s="22">
        <f t="shared" si="1"/>
        <v>101254</v>
      </c>
    </row>
    <row r="7" ht="15.75" customHeight="1">
      <c r="A7" s="73" t="s">
        <v>201</v>
      </c>
      <c r="B7" s="23">
        <v>92476.0</v>
      </c>
      <c r="C7" s="23">
        <v>164987.0</v>
      </c>
      <c r="D7" s="22">
        <v>239199.0</v>
      </c>
      <c r="E7" s="22">
        <v>368145.0</v>
      </c>
      <c r="F7" s="23">
        <v>626181.0</v>
      </c>
      <c r="G7" s="23">
        <v>853105.0</v>
      </c>
      <c r="H7" s="14">
        <f>H49*'Income Statement'!H6/365</f>
        <v>919121.5569</v>
      </c>
      <c r="I7" s="14">
        <f>I49*'Income Statement'!I6/365</f>
        <v>1194382.609</v>
      </c>
      <c r="J7" s="14">
        <f>J49*'Income Statement'!J6/365</f>
        <v>1563526.757</v>
      </c>
      <c r="K7" s="14">
        <f>K49*'Income Statement'!K6/365</f>
        <v>1963960.551</v>
      </c>
      <c r="L7" s="14">
        <f>L49*'Income Statement'!L6/365</f>
        <v>2400321.775</v>
      </c>
    </row>
    <row r="8" ht="15.75" customHeight="1">
      <c r="A8" s="73" t="s">
        <v>202</v>
      </c>
      <c r="B8" s="23">
        <v>28847.0</v>
      </c>
      <c r="C8" s="23">
        <v>42971.0</v>
      </c>
      <c r="D8" s="22">
        <v>80850.0</v>
      </c>
      <c r="E8" s="22">
        <v>126822.0</v>
      </c>
      <c r="F8" s="23">
        <v>186855.0</v>
      </c>
      <c r="G8" s="23">
        <v>246370.0</v>
      </c>
      <c r="H8" s="14">
        <f>'Scratch Work'!$H$13*B103</f>
        <v>369858.0805</v>
      </c>
      <c r="I8" s="14">
        <f>'Scratch Work'!$H$13*C103</f>
        <v>485744.4673</v>
      </c>
      <c r="J8" s="14">
        <f>'Scratch Work'!$H$13*D103</f>
        <v>594549.433</v>
      </c>
      <c r="K8" s="14">
        <f>'Scratch Work'!$H$13*E103</f>
        <v>673853.9326</v>
      </c>
      <c r="L8" s="14">
        <f>'Scratch Work'!$H$13*F103</f>
        <v>699823.7559</v>
      </c>
    </row>
    <row r="9" ht="15.75" customHeight="1">
      <c r="A9" s="73" t="s">
        <v>203</v>
      </c>
      <c r="B9" s="23">
        <v>18410.0</v>
      </c>
      <c r="C9" s="23">
        <v>51614.0</v>
      </c>
      <c r="D9" s="22">
        <v>53617.0</v>
      </c>
      <c r="E9" s="22">
        <v>79352.0</v>
      </c>
      <c r="F9" s="23">
        <v>121862.0</v>
      </c>
      <c r="G9" s="23">
        <v>183172.0</v>
      </c>
      <c r="H9" s="14">
        <f t="shared" ref="H9:L9" si="2">G9*(1+B61)</f>
        <v>212855.534</v>
      </c>
      <c r="I9" s="14">
        <f t="shared" si="2"/>
        <v>279002.4622</v>
      </c>
      <c r="J9" s="14">
        <f t="shared" si="2"/>
        <v>357012.5242</v>
      </c>
      <c r="K9" s="14">
        <f t="shared" si="2"/>
        <v>420969.7404</v>
      </c>
      <c r="L9" s="14">
        <f t="shared" si="2"/>
        <v>507192.6179</v>
      </c>
    </row>
    <row r="10" ht="15.75" customHeight="1">
      <c r="A10" s="1" t="s">
        <v>204</v>
      </c>
      <c r="B10" s="34">
        <v>331388.0</v>
      </c>
      <c r="C10" s="34">
        <v>1171636.0</v>
      </c>
      <c r="D10" s="33">
        <v>2292274.0</v>
      </c>
      <c r="E10" s="33">
        <v>2570952.0</v>
      </c>
      <c r="F10" s="34">
        <v>3640267.0</v>
      </c>
      <c r="G10" s="34">
        <v>4757307.0</v>
      </c>
      <c r="H10" s="13">
        <f t="shared" ref="H10:L10" si="3">sum(H5:H9)</f>
        <v>5453841.238</v>
      </c>
      <c r="I10" s="13">
        <f t="shared" si="3"/>
        <v>6567412.691</v>
      </c>
      <c r="J10" s="13">
        <f t="shared" si="3"/>
        <v>8177351.604</v>
      </c>
      <c r="K10" s="13">
        <f t="shared" si="3"/>
        <v>10333706.28</v>
      </c>
      <c r="L10" s="13">
        <f t="shared" si="3"/>
        <v>13155139.94</v>
      </c>
      <c r="M10" s="1"/>
      <c r="N10" s="1"/>
      <c r="O10" s="1"/>
      <c r="P10" s="1"/>
      <c r="Q10" s="1"/>
      <c r="R10" s="1"/>
      <c r="S10" s="1"/>
      <c r="T10" s="1"/>
      <c r="U10" s="1"/>
      <c r="V10" s="1"/>
      <c r="W10" s="1"/>
      <c r="X10" s="1"/>
      <c r="Y10" s="1"/>
      <c r="Z10" s="1"/>
      <c r="AA10" s="1"/>
    </row>
    <row r="11" ht="15.75" customHeight="1">
      <c r="B11" s="22"/>
      <c r="C11" s="22"/>
      <c r="D11" s="22"/>
      <c r="E11" s="22"/>
      <c r="F11" s="22"/>
      <c r="G11" s="22"/>
      <c r="H11" s="14"/>
      <c r="I11" s="14"/>
      <c r="J11" s="14"/>
      <c r="K11" s="14"/>
      <c r="L11" s="14"/>
    </row>
    <row r="12" ht="15.75" customHeight="1">
      <c r="A12" s="3" t="s">
        <v>205</v>
      </c>
      <c r="B12" s="23">
        <v>0.0</v>
      </c>
      <c r="C12" s="23">
        <v>1000.0</v>
      </c>
      <c r="D12" s="22">
        <v>2500.0</v>
      </c>
      <c r="E12" s="22">
        <v>23632.0</v>
      </c>
      <c r="F12" s="23">
        <v>47270.0</v>
      </c>
      <c r="G12" s="23">
        <v>56244.0</v>
      </c>
      <c r="H12" s="22">
        <f t="shared" ref="H12:L12" si="4">G12</f>
        <v>56244</v>
      </c>
      <c r="I12" s="22">
        <f t="shared" si="4"/>
        <v>56244</v>
      </c>
      <c r="J12" s="22">
        <f t="shared" si="4"/>
        <v>56244</v>
      </c>
      <c r="K12" s="22">
        <f t="shared" si="4"/>
        <v>56244</v>
      </c>
      <c r="L12" s="22">
        <f t="shared" si="4"/>
        <v>56244</v>
      </c>
    </row>
    <row r="13" ht="15.75" customHeight="1">
      <c r="A13" s="73" t="s">
        <v>206</v>
      </c>
      <c r="B13" s="23">
        <v>73735.0</v>
      </c>
      <c r="C13" s="23">
        <v>136078.0</v>
      </c>
      <c r="D13" s="22">
        <v>167014.0</v>
      </c>
      <c r="E13" s="22">
        <v>260577.0</v>
      </c>
      <c r="F13" s="23">
        <v>492335.0</v>
      </c>
      <c r="G13" s="23">
        <v>620172.0</v>
      </c>
      <c r="H13" s="14">
        <f t="shared" ref="H13:L13" si="5">B89</f>
        <v>877203.3728</v>
      </c>
      <c r="I13" s="14">
        <f t="shared" si="5"/>
        <v>1153229.658</v>
      </c>
      <c r="J13" s="14">
        <f t="shared" si="5"/>
        <v>1458720.388</v>
      </c>
      <c r="K13" s="14">
        <f t="shared" si="5"/>
        <v>1768200.537</v>
      </c>
      <c r="L13" s="14">
        <f t="shared" si="5"/>
        <v>2054865.024</v>
      </c>
    </row>
    <row r="14" ht="15.75" customHeight="1">
      <c r="A14" s="3" t="s">
        <v>207</v>
      </c>
      <c r="B14" s="22">
        <v>0.0</v>
      </c>
      <c r="C14" s="22">
        <v>0.0</v>
      </c>
      <c r="D14" s="22">
        <v>36484.0</v>
      </c>
      <c r="E14" s="22">
        <v>31735.0</v>
      </c>
      <c r="F14" s="23">
        <v>39936.0</v>
      </c>
      <c r="G14" s="23">
        <v>48211.0</v>
      </c>
      <c r="H14" s="22">
        <f t="shared" ref="H14:L14" si="6">G14</f>
        <v>48211</v>
      </c>
      <c r="I14" s="22">
        <f t="shared" si="6"/>
        <v>48211</v>
      </c>
      <c r="J14" s="22">
        <f t="shared" si="6"/>
        <v>48211</v>
      </c>
      <c r="K14" s="22">
        <f t="shared" si="6"/>
        <v>48211</v>
      </c>
      <c r="L14" s="22">
        <f t="shared" si="6"/>
        <v>48211</v>
      </c>
    </row>
    <row r="15" ht="15.75" customHeight="1">
      <c r="A15" s="73" t="s">
        <v>208</v>
      </c>
      <c r="B15" s="23">
        <v>9918.0</v>
      </c>
      <c r="C15" s="23">
        <v>71235.0</v>
      </c>
      <c r="D15" s="22">
        <v>117906.0</v>
      </c>
      <c r="E15" s="22">
        <v>192358.0</v>
      </c>
      <c r="F15" s="23">
        <v>260233.0</v>
      </c>
      <c r="G15" s="23">
        <v>335933.0</v>
      </c>
      <c r="H15" s="14">
        <f>(1-'Scratch Work'!$H$13)*B103</f>
        <v>504312.7595</v>
      </c>
      <c r="I15" s="14">
        <f>(1-'Scratch Work'!$H$13)*C103</f>
        <v>662327.3781</v>
      </c>
      <c r="J15" s="14">
        <f>(1-'Scratch Work'!$H$13)*D103</f>
        <v>810686.2632</v>
      </c>
      <c r="K15" s="14">
        <f>(1-'Scratch Work'!$H$13)*E103</f>
        <v>918820.3642</v>
      </c>
      <c r="L15" s="14">
        <f>(1-'Scratch Work'!$H$13)*F103</f>
        <v>954231.0094</v>
      </c>
    </row>
    <row r="16" ht="15.75" customHeight="1">
      <c r="A16" s="3" t="s">
        <v>209</v>
      </c>
      <c r="B16" s="23">
        <v>7947.0</v>
      </c>
      <c r="C16" s="23">
        <v>7722.0</v>
      </c>
      <c r="D16" s="22">
        <v>83566.0</v>
      </c>
      <c r="E16" s="22">
        <v>416445.0</v>
      </c>
      <c r="F16" s="23">
        <v>430645.0</v>
      </c>
      <c r="G16" s="23">
        <v>638041.0</v>
      </c>
      <c r="H16" s="22">
        <f t="shared" ref="H16:L16" si="7">G16</f>
        <v>638041</v>
      </c>
      <c r="I16" s="22">
        <f t="shared" si="7"/>
        <v>638041</v>
      </c>
      <c r="J16" s="22">
        <f t="shared" si="7"/>
        <v>638041</v>
      </c>
      <c r="K16" s="22">
        <f t="shared" si="7"/>
        <v>638041</v>
      </c>
      <c r="L16" s="22">
        <f t="shared" si="7"/>
        <v>638041</v>
      </c>
    </row>
    <row r="17" ht="15.75" customHeight="1">
      <c r="A17" s="73" t="s">
        <v>210</v>
      </c>
      <c r="B17" s="23">
        <v>1048.0</v>
      </c>
      <c r="C17" s="23">
        <v>527.0</v>
      </c>
      <c r="D17" s="22">
        <v>15677.0</v>
      </c>
      <c r="E17" s="22">
        <v>97336.0</v>
      </c>
      <c r="F17" s="23">
        <v>86889.0</v>
      </c>
      <c r="G17" s="23">
        <v>114518.0</v>
      </c>
      <c r="H17" s="25">
        <f t="shared" ref="H17:L17" si="8">B109</f>
        <v>102886.2901</v>
      </c>
      <c r="I17" s="25">
        <f t="shared" si="8"/>
        <v>92929.29007</v>
      </c>
      <c r="J17" s="25">
        <f t="shared" si="8"/>
        <v>85233.04141</v>
      </c>
      <c r="K17" s="25">
        <f t="shared" si="8"/>
        <v>79885.09345</v>
      </c>
      <c r="L17" s="25">
        <f t="shared" si="8"/>
        <v>76995.07266</v>
      </c>
    </row>
    <row r="18" ht="15.75" customHeight="1">
      <c r="A18" s="3" t="s">
        <v>211</v>
      </c>
      <c r="B18" s="23">
        <v>9183.0</v>
      </c>
      <c r="C18" s="23">
        <v>16708.0</v>
      </c>
      <c r="D18" s="22">
        <v>17112.0</v>
      </c>
      <c r="E18" s="22">
        <v>25346.0</v>
      </c>
      <c r="F18" s="23">
        <v>28965.0</v>
      </c>
      <c r="G18" s="23">
        <v>76094.0</v>
      </c>
      <c r="H18" s="22">
        <f t="shared" ref="H18:L18" si="9">G18</f>
        <v>76094</v>
      </c>
      <c r="I18" s="22">
        <f t="shared" si="9"/>
        <v>76094</v>
      </c>
      <c r="J18" s="22">
        <f t="shared" si="9"/>
        <v>76094</v>
      </c>
      <c r="K18" s="22">
        <f t="shared" si="9"/>
        <v>76094</v>
      </c>
      <c r="L18" s="22">
        <f t="shared" si="9"/>
        <v>76094</v>
      </c>
    </row>
    <row r="19" ht="15.75" customHeight="1">
      <c r="A19" s="1" t="s">
        <v>212</v>
      </c>
      <c r="B19" s="34">
        <v>433219.0</v>
      </c>
      <c r="C19" s="34">
        <v>1404906.0</v>
      </c>
      <c r="D19" s="33">
        <v>2732533.0</v>
      </c>
      <c r="E19" s="33">
        <v>3618381.0</v>
      </c>
      <c r="F19" s="34">
        <v>5026540.0</v>
      </c>
      <c r="G19" s="34">
        <v>6646520.0</v>
      </c>
      <c r="H19" s="13">
        <f t="shared" ref="H19:L19" si="10">H10+sum(H12:H18)</f>
        <v>7756833.66</v>
      </c>
      <c r="I19" s="13">
        <f t="shared" si="10"/>
        <v>9294489.017</v>
      </c>
      <c r="J19" s="13">
        <f t="shared" si="10"/>
        <v>11350581.3</v>
      </c>
      <c r="K19" s="13">
        <f t="shared" si="10"/>
        <v>13919202.27</v>
      </c>
      <c r="L19" s="13">
        <f t="shared" si="10"/>
        <v>17059821.05</v>
      </c>
      <c r="M19" s="1"/>
      <c r="N19" s="1"/>
      <c r="O19" s="1"/>
      <c r="P19" s="1"/>
      <c r="Q19" s="1"/>
      <c r="R19" s="1"/>
      <c r="S19" s="1"/>
      <c r="T19" s="1"/>
      <c r="U19" s="1"/>
      <c r="V19" s="1"/>
      <c r="W19" s="1"/>
      <c r="X19" s="1"/>
      <c r="Y19" s="1"/>
      <c r="Z19" s="1"/>
      <c r="AA19" s="1"/>
    </row>
    <row r="20" ht="15.75" customHeight="1">
      <c r="B20" s="22"/>
      <c r="C20" s="22"/>
      <c r="D20" s="22"/>
      <c r="E20" s="22"/>
      <c r="F20" s="22"/>
      <c r="G20" s="22"/>
      <c r="H20" s="14"/>
      <c r="I20" s="14"/>
      <c r="J20" s="14"/>
      <c r="K20" s="14"/>
      <c r="L20" s="14"/>
    </row>
    <row r="21" ht="15.75" customHeight="1">
      <c r="A21" s="1" t="s">
        <v>213</v>
      </c>
      <c r="B21" s="65"/>
      <c r="C21" s="65"/>
      <c r="D21" s="22"/>
      <c r="E21" s="22"/>
      <c r="F21" s="65"/>
      <c r="G21" s="65"/>
      <c r="H21" s="14"/>
      <c r="I21" s="14"/>
      <c r="J21" s="14"/>
      <c r="K21" s="14"/>
      <c r="L21" s="14"/>
    </row>
    <row r="22" ht="15.75" customHeight="1">
      <c r="A22" s="1" t="s">
        <v>214</v>
      </c>
      <c r="B22" s="65"/>
      <c r="C22" s="65"/>
      <c r="D22" s="22"/>
      <c r="E22" s="22"/>
      <c r="F22" s="65"/>
      <c r="G22" s="65"/>
      <c r="H22" s="14"/>
      <c r="I22" s="14"/>
      <c r="J22" s="14"/>
      <c r="K22" s="14"/>
      <c r="L22" s="14"/>
    </row>
    <row r="23" ht="15.75" customHeight="1">
      <c r="A23" s="73" t="s">
        <v>215</v>
      </c>
      <c r="B23" s="23">
        <f>6855+51825</f>
        <v>58680</v>
      </c>
      <c r="C23" s="23">
        <f>1345+67165</f>
        <v>68510</v>
      </c>
      <c r="D23" s="22">
        <f>12065+123024</f>
        <v>135089</v>
      </c>
      <c r="E23" s="22">
        <f>47634+187945</f>
        <v>235579</v>
      </c>
      <c r="F23" s="23">
        <f>45372+306651</f>
        <v>352023</v>
      </c>
      <c r="G23" s="23">
        <f>28180+360520</f>
        <v>388700</v>
      </c>
      <c r="H23" s="14">
        <f>H50*sum('Income Statement'!H10:H12)/365</f>
        <v>413606.1893</v>
      </c>
      <c r="I23" s="14">
        <f>I50*sum('Income Statement'!I10:I12)/365</f>
        <v>542138.3369</v>
      </c>
      <c r="J23" s="14">
        <f>J50*sum('Income Statement'!J10:J12)/365</f>
        <v>693722.1076</v>
      </c>
      <c r="K23" s="14">
        <f>K50*sum('Income Statement'!K10:K12)/365</f>
        <v>817999.358</v>
      </c>
      <c r="L23" s="14">
        <f>L50*sum('Income Statement'!L10:L12)/365</f>
        <v>985541.7052</v>
      </c>
    </row>
    <row r="24" ht="15.75" customHeight="1">
      <c r="A24" s="73" t="s">
        <v>216</v>
      </c>
      <c r="B24" s="22">
        <v>0.0</v>
      </c>
      <c r="C24" s="22">
        <v>0.0</v>
      </c>
      <c r="D24" s="22">
        <v>8977.0</v>
      </c>
      <c r="E24" s="22">
        <v>9820.0</v>
      </c>
      <c r="F24" s="23">
        <v>13046.0</v>
      </c>
      <c r="G24" s="23">
        <v>14150.0</v>
      </c>
      <c r="H24" s="22">
        <f t="shared" ref="H24:L24" si="11">G24</f>
        <v>14150</v>
      </c>
      <c r="I24" s="22">
        <f t="shared" si="11"/>
        <v>14150</v>
      </c>
      <c r="J24" s="22">
        <f t="shared" si="11"/>
        <v>14150</v>
      </c>
      <c r="K24" s="22">
        <f t="shared" si="11"/>
        <v>14150</v>
      </c>
      <c r="L24" s="22">
        <f t="shared" si="11"/>
        <v>14150</v>
      </c>
      <c r="M24" s="39"/>
      <c r="N24" s="39"/>
      <c r="O24" s="39"/>
      <c r="P24" s="39"/>
      <c r="Q24" s="39"/>
      <c r="R24" s="39"/>
      <c r="S24" s="39"/>
      <c r="T24" s="39"/>
      <c r="U24" s="39"/>
      <c r="V24" s="39"/>
      <c r="W24" s="39"/>
      <c r="X24" s="39"/>
      <c r="Y24" s="39"/>
      <c r="Z24" s="39"/>
      <c r="AA24" s="39"/>
    </row>
    <row r="25" ht="15.75" customHeight="1">
      <c r="A25" s="73" t="s">
        <v>217</v>
      </c>
      <c r="B25" s="23">
        <v>218700.0</v>
      </c>
      <c r="C25" s="23">
        <v>412985.0</v>
      </c>
      <c r="D25" s="22">
        <v>701988.0</v>
      </c>
      <c r="E25" s="22">
        <v>1136502.0</v>
      </c>
      <c r="F25" s="23">
        <v>1727484.0</v>
      </c>
      <c r="G25" s="23">
        <v>2270757.0</v>
      </c>
      <c r="H25" s="14">
        <f t="shared" ref="H25:L25" si="12">G25*(1+B74)</f>
        <v>2883861.39</v>
      </c>
      <c r="I25" s="14">
        <f t="shared" si="12"/>
        <v>3575988.124</v>
      </c>
      <c r="J25" s="14">
        <f t="shared" si="12"/>
        <v>4362705.511</v>
      </c>
      <c r="K25" s="14">
        <f t="shared" si="12"/>
        <v>5235246.613</v>
      </c>
      <c r="L25" s="14">
        <f t="shared" si="12"/>
        <v>6177591.003</v>
      </c>
    </row>
    <row r="26" ht="15.75" customHeight="1">
      <c r="A26" s="3" t="s">
        <v>218</v>
      </c>
      <c r="B26" s="23">
        <v>4040.0</v>
      </c>
      <c r="C26" s="23">
        <v>11601.0</v>
      </c>
      <c r="D26" s="22">
        <v>17499.0</v>
      </c>
      <c r="E26" s="22">
        <v>24929.0</v>
      </c>
      <c r="F26" s="23">
        <v>16519.0</v>
      </c>
      <c r="G26" s="23">
        <v>23672.0</v>
      </c>
      <c r="H26" s="22">
        <f t="shared" ref="H26:L26" si="13">G26</f>
        <v>23672</v>
      </c>
      <c r="I26" s="22">
        <f t="shared" si="13"/>
        <v>23672</v>
      </c>
      <c r="J26" s="22">
        <f t="shared" si="13"/>
        <v>23672</v>
      </c>
      <c r="K26" s="22">
        <f t="shared" si="13"/>
        <v>23672</v>
      </c>
      <c r="L26" s="22">
        <f t="shared" si="13"/>
        <v>23672</v>
      </c>
    </row>
    <row r="27" ht="15.75" customHeight="1">
      <c r="A27" s="1" t="s">
        <v>219</v>
      </c>
      <c r="B27" s="34">
        <v>281420.0</v>
      </c>
      <c r="C27" s="34">
        <v>493096.0</v>
      </c>
      <c r="D27" s="33">
        <v>863553.0</v>
      </c>
      <c r="E27" s="33">
        <v>1406830.0</v>
      </c>
      <c r="F27" s="34">
        <v>2109072.0</v>
      </c>
      <c r="G27" s="34">
        <v>2697279.0</v>
      </c>
      <c r="H27" s="13">
        <f t="shared" ref="H27:L27" si="14">sum(H23:H26)</f>
        <v>3335289.579</v>
      </c>
      <c r="I27" s="13">
        <f t="shared" si="14"/>
        <v>4155948.461</v>
      </c>
      <c r="J27" s="13">
        <f t="shared" si="14"/>
        <v>5094249.618</v>
      </c>
      <c r="K27" s="13">
        <f t="shared" si="14"/>
        <v>6091067.971</v>
      </c>
      <c r="L27" s="13">
        <f t="shared" si="14"/>
        <v>7200954.709</v>
      </c>
      <c r="M27" s="1"/>
      <c r="N27" s="1"/>
      <c r="O27" s="1"/>
      <c r="P27" s="1"/>
      <c r="Q27" s="1"/>
      <c r="R27" s="1"/>
      <c r="S27" s="1"/>
      <c r="T27" s="1"/>
      <c r="U27" s="1"/>
      <c r="V27" s="1"/>
      <c r="W27" s="1"/>
      <c r="X27" s="1"/>
      <c r="Y27" s="1"/>
      <c r="Z27" s="1"/>
      <c r="AA27" s="1"/>
    </row>
    <row r="28" ht="15.75" customHeight="1">
      <c r="B28" s="22"/>
      <c r="C28" s="22"/>
      <c r="D28" s="22"/>
      <c r="E28" s="74"/>
      <c r="F28" s="74"/>
      <c r="G28" s="74"/>
      <c r="H28" s="14"/>
      <c r="I28" s="14"/>
      <c r="J28" s="14"/>
      <c r="K28" s="14"/>
      <c r="L28" s="14"/>
    </row>
    <row r="29" ht="15.75" customHeight="1">
      <c r="A29" s="3" t="s">
        <v>220</v>
      </c>
      <c r="B29" s="22">
        <v>0.0</v>
      </c>
      <c r="C29" s="22">
        <v>0.0</v>
      </c>
      <c r="D29" s="22">
        <v>738029.0</v>
      </c>
      <c r="E29" s="22">
        <v>739517.0</v>
      </c>
      <c r="F29" s="23">
        <v>741005.0</v>
      </c>
      <c r="G29" s="23">
        <v>742494.0</v>
      </c>
      <c r="H29" s="22">
        <f t="shared" ref="H29:L29" si="15">G29</f>
        <v>742494</v>
      </c>
      <c r="I29" s="22">
        <f t="shared" si="15"/>
        <v>742494</v>
      </c>
      <c r="J29" s="22">
        <f t="shared" si="15"/>
        <v>742494</v>
      </c>
      <c r="K29" s="22">
        <f t="shared" si="15"/>
        <v>742494</v>
      </c>
      <c r="L29" s="22">
        <f t="shared" si="15"/>
        <v>742494</v>
      </c>
    </row>
    <row r="30" ht="15.75" customHeight="1">
      <c r="A30" s="73" t="s">
        <v>221</v>
      </c>
      <c r="B30" s="23">
        <v>71367.0</v>
      </c>
      <c r="C30" s="23">
        <v>158183.0</v>
      </c>
      <c r="D30" s="22">
        <v>209907.0</v>
      </c>
      <c r="E30" s="22">
        <v>392819.0</v>
      </c>
      <c r="F30" s="23">
        <v>627629.0</v>
      </c>
      <c r="G30" s="23">
        <v>783342.0</v>
      </c>
      <c r="H30" s="25">
        <f t="shared" ref="H30:L30" si="16">G30*(1+B82)</f>
        <v>994844.34</v>
      </c>
      <c r="I30" s="25">
        <f t="shared" si="16"/>
        <v>1233606.982</v>
      </c>
      <c r="J30" s="25">
        <f t="shared" si="16"/>
        <v>1505000.518</v>
      </c>
      <c r="K30" s="25">
        <f t="shared" si="16"/>
        <v>1806000.621</v>
      </c>
      <c r="L30" s="25">
        <f t="shared" si="16"/>
        <v>2131080.733</v>
      </c>
    </row>
    <row r="31" ht="15.75" customHeight="1">
      <c r="A31" s="73" t="s">
        <v>222</v>
      </c>
      <c r="B31" s="22">
        <v>0.0</v>
      </c>
      <c r="C31" s="22">
        <v>0.0</v>
      </c>
      <c r="D31" s="22">
        <v>31986.0</v>
      </c>
      <c r="E31" s="22">
        <v>25379.0</v>
      </c>
      <c r="F31" s="23">
        <v>29567.0</v>
      </c>
      <c r="G31" s="23">
        <v>36230.0</v>
      </c>
      <c r="H31" s="22">
        <f t="shared" ref="H31:L31" si="17">G31</f>
        <v>36230</v>
      </c>
      <c r="I31" s="22">
        <f t="shared" si="17"/>
        <v>36230</v>
      </c>
      <c r="J31" s="22">
        <f t="shared" si="17"/>
        <v>36230</v>
      </c>
      <c r="K31" s="22">
        <f t="shared" si="17"/>
        <v>36230</v>
      </c>
      <c r="L31" s="22">
        <f t="shared" si="17"/>
        <v>36230</v>
      </c>
    </row>
    <row r="32" ht="15.75" customHeight="1">
      <c r="A32" s="73" t="s">
        <v>223</v>
      </c>
      <c r="B32" s="23">
        <v>10313.0</v>
      </c>
      <c r="C32" s="23">
        <v>11020.0</v>
      </c>
      <c r="D32" s="22">
        <v>17184.0</v>
      </c>
      <c r="E32" s="22">
        <v>16193.0</v>
      </c>
      <c r="F32" s="23">
        <v>31833.0</v>
      </c>
      <c r="G32" s="23">
        <v>50086.0</v>
      </c>
      <c r="H32" s="22">
        <f t="shared" ref="H32:L32" si="18">G32</f>
        <v>50086</v>
      </c>
      <c r="I32" s="22">
        <f t="shared" si="18"/>
        <v>50086</v>
      </c>
      <c r="J32" s="22">
        <f t="shared" si="18"/>
        <v>50086</v>
      </c>
      <c r="K32" s="22">
        <f t="shared" si="18"/>
        <v>50086</v>
      </c>
      <c r="L32" s="22">
        <f t="shared" si="18"/>
        <v>50086</v>
      </c>
    </row>
    <row r="33" ht="15.75" customHeight="1">
      <c r="A33" s="1" t="s">
        <v>224</v>
      </c>
      <c r="B33" s="34">
        <v>363100.0</v>
      </c>
      <c r="C33" s="34">
        <v>662299.0</v>
      </c>
      <c r="D33" s="33">
        <v>1860659.0</v>
      </c>
      <c r="E33" s="33">
        <v>2580738.0</v>
      </c>
      <c r="F33" s="34">
        <v>3539106.0</v>
      </c>
      <c r="G33" s="34">
        <v>4309431.0</v>
      </c>
      <c r="H33" s="13">
        <f t="shared" ref="H33:L33" si="19">H27+sum(H29:H32)</f>
        <v>5158943.919</v>
      </c>
      <c r="I33" s="13">
        <f t="shared" si="19"/>
        <v>6218365.442</v>
      </c>
      <c r="J33" s="13">
        <f t="shared" si="19"/>
        <v>7428060.136</v>
      </c>
      <c r="K33" s="13">
        <f t="shared" si="19"/>
        <v>8725878.592</v>
      </c>
      <c r="L33" s="13">
        <f t="shared" si="19"/>
        <v>10160845.44</v>
      </c>
      <c r="M33" s="1"/>
      <c r="N33" s="1"/>
      <c r="O33" s="1"/>
      <c r="P33" s="1"/>
      <c r="Q33" s="1"/>
      <c r="R33" s="1"/>
      <c r="S33" s="1"/>
      <c r="T33" s="1"/>
      <c r="U33" s="1"/>
      <c r="V33" s="1"/>
      <c r="W33" s="1"/>
      <c r="X33" s="1"/>
      <c r="Y33" s="1"/>
      <c r="Z33" s="1"/>
      <c r="AA33" s="1"/>
    </row>
    <row r="34" ht="15.75" customHeight="1">
      <c r="B34" s="65"/>
      <c r="C34" s="65"/>
      <c r="D34" s="22"/>
      <c r="E34" s="22"/>
      <c r="F34" s="65"/>
      <c r="G34" s="65"/>
      <c r="H34" s="14"/>
      <c r="I34" s="14"/>
      <c r="J34" s="14"/>
      <c r="K34" s="14"/>
      <c r="L34" s="14"/>
    </row>
    <row r="35" ht="15.75" customHeight="1">
      <c r="A35" s="1" t="s">
        <v>225</v>
      </c>
      <c r="B35" s="65"/>
      <c r="C35" s="65"/>
      <c r="D35" s="22"/>
      <c r="E35" s="22"/>
      <c r="F35" s="65"/>
      <c r="G35" s="65"/>
      <c r="H35" s="14"/>
      <c r="I35" s="14"/>
      <c r="J35" s="14"/>
      <c r="K35" s="14"/>
      <c r="L35" s="14"/>
    </row>
    <row r="36" ht="15.75" customHeight="1">
      <c r="A36" s="3" t="s">
        <v>226</v>
      </c>
      <c r="B36" s="23">
        <f>557912+24+31211</f>
        <v>589147</v>
      </c>
      <c r="C36" s="23">
        <f>0+106+137849</f>
        <v>137955</v>
      </c>
      <c r="D36" s="22">
        <f>112+1598259</f>
        <v>1598371</v>
      </c>
      <c r="E36" s="22">
        <f>115+1991807</f>
        <v>1991922</v>
      </c>
      <c r="F36" s="23">
        <f>118+2612705</f>
        <v>2612823</v>
      </c>
      <c r="G36" s="23">
        <f>121+3364328</f>
        <v>3364449</v>
      </c>
      <c r="H36" s="22">
        <f t="shared" ref="H36:L36" si="20">G36</f>
        <v>3364449</v>
      </c>
      <c r="I36" s="22">
        <f t="shared" si="20"/>
        <v>3364449</v>
      </c>
      <c r="J36" s="22">
        <f t="shared" si="20"/>
        <v>3364449</v>
      </c>
      <c r="K36" s="22">
        <f t="shared" si="20"/>
        <v>3364449</v>
      </c>
      <c r="L36" s="22">
        <f t="shared" si="20"/>
        <v>3364449</v>
      </c>
    </row>
    <row r="37" ht="15.75" customHeight="1">
      <c r="A37" s="3" t="s">
        <v>227</v>
      </c>
      <c r="B37" s="23">
        <v>-519126.0</v>
      </c>
      <c r="C37" s="23">
        <v>-637487.0</v>
      </c>
      <c r="D37" s="22">
        <v>-730116.0</v>
      </c>
      <c r="E37" s="22">
        <v>-964918.0</v>
      </c>
      <c r="F37" s="23">
        <v>-1148163.0</v>
      </c>
      <c r="G37" s="23">
        <v>-1058836.0</v>
      </c>
      <c r="H37" s="25">
        <f>G37+'Income Statement'!H29</f>
        <v>-803396.3107</v>
      </c>
      <c r="I37" s="25">
        <f>H37+'Income Statement'!I29</f>
        <v>-331943.6441</v>
      </c>
      <c r="J37" s="25">
        <f>I37+'Income Statement'!J29</f>
        <v>502452.3588</v>
      </c>
      <c r="K37" s="25">
        <f>J37+'Income Statement'!K29</f>
        <v>1755235.4</v>
      </c>
      <c r="L37" s="25">
        <f>K37+'Income Statement'!L29</f>
        <v>3436701.855</v>
      </c>
    </row>
    <row r="38" ht="15.75" customHeight="1">
      <c r="A38" s="3" t="s">
        <v>228</v>
      </c>
      <c r="B38" s="23">
        <v>98.0</v>
      </c>
      <c r="C38" s="23">
        <v>1009.0</v>
      </c>
      <c r="D38" s="22">
        <v>2319.0</v>
      </c>
      <c r="E38" s="22">
        <v>-1240.0</v>
      </c>
      <c r="F38" s="23">
        <v>-1019.0</v>
      </c>
      <c r="G38" s="23">
        <v>-1663.0</v>
      </c>
      <c r="H38" s="22">
        <v>0.0</v>
      </c>
      <c r="I38" s="22">
        <f t="shared" ref="I38:L38" si="21">H38</f>
        <v>0</v>
      </c>
      <c r="J38" s="22">
        <f t="shared" si="21"/>
        <v>0</v>
      </c>
      <c r="K38" s="22">
        <f t="shared" si="21"/>
        <v>0</v>
      </c>
      <c r="L38" s="22">
        <f t="shared" si="21"/>
        <v>0</v>
      </c>
    </row>
    <row r="39" ht="15.75" customHeight="1">
      <c r="A39" s="1" t="s">
        <v>229</v>
      </c>
      <c r="B39" s="23">
        <v>-487793.0</v>
      </c>
      <c r="C39" s="23">
        <v>742107.0</v>
      </c>
      <c r="D39" s="22">
        <v>870574.0</v>
      </c>
      <c r="E39" s="22">
        <v>1025764.0</v>
      </c>
      <c r="F39" s="23">
        <v>1463641.0</v>
      </c>
      <c r="G39" s="23">
        <v>2303950.0</v>
      </c>
      <c r="H39" s="14">
        <f t="shared" ref="H39:L39" si="22">sum(H36:H38)</f>
        <v>2561052.689</v>
      </c>
      <c r="I39" s="14">
        <f t="shared" si="22"/>
        <v>3032505.356</v>
      </c>
      <c r="J39" s="14">
        <f t="shared" si="22"/>
        <v>3866901.359</v>
      </c>
      <c r="K39" s="14">
        <f t="shared" si="22"/>
        <v>5119684.4</v>
      </c>
      <c r="L39" s="14">
        <f t="shared" si="22"/>
        <v>6801150.855</v>
      </c>
    </row>
    <row r="40" ht="15.75" customHeight="1">
      <c r="A40" s="3" t="s">
        <v>230</v>
      </c>
      <c r="B40" s="23">
        <v>0.0</v>
      </c>
      <c r="C40" s="23">
        <v>500.0</v>
      </c>
      <c r="D40" s="22">
        <v>1300.0</v>
      </c>
      <c r="E40" s="22">
        <v>11879.0</v>
      </c>
      <c r="F40" s="23">
        <v>23793.0</v>
      </c>
      <c r="G40" s="23">
        <v>33139.0</v>
      </c>
      <c r="H40" s="22">
        <f>H39*'Scratch Work'!$H$14</f>
        <v>36837.05162</v>
      </c>
      <c r="I40" s="22">
        <f>I39*'Scratch Work'!$H$14</f>
        <v>43618.21871</v>
      </c>
      <c r="J40" s="22">
        <f>J39*'Scratch Work'!$H$14</f>
        <v>55619.80257</v>
      </c>
      <c r="K40" s="22">
        <f>K39*'Scratch Work'!$H$14</f>
        <v>73639.28094</v>
      </c>
      <c r="L40" s="22">
        <f>L39*'Scratch Work'!$H$14</f>
        <v>97824.75235</v>
      </c>
    </row>
    <row r="41" ht="15.75" customHeight="1">
      <c r="A41" s="1" t="s">
        <v>231</v>
      </c>
      <c r="B41" s="34">
        <v>-487793.0</v>
      </c>
      <c r="C41" s="34">
        <v>742607.0</v>
      </c>
      <c r="D41" s="33">
        <v>871874.0</v>
      </c>
      <c r="E41" s="33">
        <v>1037643.0</v>
      </c>
      <c r="F41" s="34">
        <v>1487434.0</v>
      </c>
      <c r="G41" s="34">
        <v>2337089.0</v>
      </c>
      <c r="H41" s="13">
        <f t="shared" ref="H41:L41" si="23">H39+H40</f>
        <v>2597889.741</v>
      </c>
      <c r="I41" s="13">
        <f t="shared" si="23"/>
        <v>3076123.575</v>
      </c>
      <c r="J41" s="13">
        <f t="shared" si="23"/>
        <v>3922521.161</v>
      </c>
      <c r="K41" s="13">
        <f t="shared" si="23"/>
        <v>5193323.681</v>
      </c>
      <c r="L41" s="13">
        <f t="shared" si="23"/>
        <v>6898975.607</v>
      </c>
      <c r="M41" s="1"/>
      <c r="N41" s="1"/>
      <c r="O41" s="1"/>
      <c r="P41" s="1"/>
      <c r="Q41" s="1"/>
      <c r="R41" s="1"/>
      <c r="S41" s="1"/>
      <c r="T41" s="1"/>
      <c r="U41" s="1"/>
      <c r="V41" s="1"/>
      <c r="W41" s="1"/>
      <c r="X41" s="1"/>
      <c r="Y41" s="1"/>
      <c r="Z41" s="1"/>
      <c r="AA41" s="1"/>
    </row>
    <row r="42" ht="15.75" customHeight="1">
      <c r="B42" s="22"/>
      <c r="C42" s="55"/>
      <c r="D42" s="55"/>
      <c r="E42" s="55"/>
      <c r="F42" s="55"/>
      <c r="G42" s="55"/>
      <c r="H42" s="14"/>
      <c r="I42" s="14"/>
      <c r="J42" s="14"/>
      <c r="K42" s="14"/>
      <c r="L42" s="14"/>
    </row>
    <row r="43" ht="15.75" customHeight="1">
      <c r="A43" s="1" t="s">
        <v>232</v>
      </c>
      <c r="B43" s="34">
        <v>433219.0</v>
      </c>
      <c r="C43" s="34">
        <v>1404906.0</v>
      </c>
      <c r="D43" s="33">
        <v>2732533.0</v>
      </c>
      <c r="E43" s="33">
        <v>3618381.0</v>
      </c>
      <c r="F43" s="34">
        <v>5026540.0</v>
      </c>
      <c r="G43" s="34">
        <v>6646520.0</v>
      </c>
      <c r="H43" s="13">
        <f t="shared" ref="H43:L43" si="24">H33+H41</f>
        <v>7756833.66</v>
      </c>
      <c r="I43" s="13">
        <f t="shared" si="24"/>
        <v>9294489.017</v>
      </c>
      <c r="J43" s="13">
        <f t="shared" si="24"/>
        <v>11350581.3</v>
      </c>
      <c r="K43" s="13">
        <f t="shared" si="24"/>
        <v>13919202.27</v>
      </c>
      <c r="L43" s="13">
        <f t="shared" si="24"/>
        <v>17059821.05</v>
      </c>
      <c r="M43" s="1"/>
      <c r="N43" s="1"/>
      <c r="O43" s="1"/>
      <c r="P43" s="1"/>
      <c r="Q43" s="1"/>
      <c r="R43" s="1"/>
      <c r="S43" s="1"/>
      <c r="T43" s="1"/>
      <c r="U43" s="1"/>
      <c r="V43" s="1"/>
      <c r="W43" s="1"/>
      <c r="X43" s="1"/>
      <c r="Y43" s="1"/>
      <c r="Z43" s="1"/>
      <c r="AA43" s="1"/>
    </row>
    <row r="44" ht="15.75" customHeight="1">
      <c r="B44" s="14"/>
      <c r="C44" s="14"/>
      <c r="D44" s="14"/>
      <c r="E44" s="14"/>
      <c r="F44" s="14"/>
      <c r="G44" s="14"/>
      <c r="H44" s="14">
        <f t="shared" ref="H44:L44" si="25">H43-G43</f>
        <v>1110313.66</v>
      </c>
      <c r="I44" s="14">
        <f t="shared" si="25"/>
        <v>1537655.356</v>
      </c>
      <c r="J44" s="14">
        <f t="shared" si="25"/>
        <v>2056092.281</v>
      </c>
      <c r="K44" s="14">
        <f t="shared" si="25"/>
        <v>2568620.975</v>
      </c>
      <c r="L44" s="14">
        <f t="shared" si="25"/>
        <v>3140618.776</v>
      </c>
    </row>
    <row r="45" ht="15.75" customHeight="1">
      <c r="A45" s="75" t="s">
        <v>233</v>
      </c>
      <c r="B45" s="75">
        <f t="shared" ref="B45:L45" si="26">B19-B43</f>
        <v>0</v>
      </c>
      <c r="C45" s="75">
        <f t="shared" si="26"/>
        <v>0</v>
      </c>
      <c r="D45" s="75">
        <f t="shared" si="26"/>
        <v>0</v>
      </c>
      <c r="E45" s="75">
        <f t="shared" si="26"/>
        <v>0</v>
      </c>
      <c r="F45" s="75">
        <f t="shared" si="26"/>
        <v>0</v>
      </c>
      <c r="G45" s="75">
        <f t="shared" si="26"/>
        <v>0</v>
      </c>
      <c r="H45" s="76">
        <f t="shared" si="26"/>
        <v>0</v>
      </c>
      <c r="I45" s="76">
        <f t="shared" si="26"/>
        <v>0</v>
      </c>
      <c r="J45" s="76">
        <f t="shared" si="26"/>
        <v>0.000000001862645149</v>
      </c>
      <c r="K45" s="76">
        <f t="shared" si="26"/>
        <v>0</v>
      </c>
      <c r="L45" s="76">
        <f t="shared" si="26"/>
        <v>0</v>
      </c>
      <c r="M45" s="77"/>
      <c r="N45" s="77"/>
      <c r="O45" s="77"/>
      <c r="P45" s="77"/>
      <c r="Q45" s="77"/>
      <c r="R45" s="77"/>
      <c r="S45" s="77"/>
      <c r="T45" s="77"/>
      <c r="U45" s="77"/>
      <c r="V45" s="77"/>
      <c r="W45" s="77"/>
      <c r="X45" s="77"/>
      <c r="Y45" s="77"/>
      <c r="Z45" s="77"/>
      <c r="AA45" s="77"/>
    </row>
    <row r="46" ht="15.75" customHeight="1">
      <c r="B46" s="14"/>
      <c r="C46" s="14"/>
      <c r="D46" s="14"/>
      <c r="E46" s="14"/>
      <c r="F46" s="14"/>
      <c r="G46" s="14"/>
    </row>
    <row r="47" ht="15.75" customHeight="1">
      <c r="A47" s="1"/>
      <c r="B47" s="14"/>
      <c r="C47" s="14"/>
      <c r="D47" s="14"/>
      <c r="E47" s="14"/>
      <c r="F47" s="14"/>
      <c r="G47" s="14"/>
      <c r="H47" s="1" t="s">
        <v>234</v>
      </c>
    </row>
    <row r="48" ht="15.75" customHeight="1">
      <c r="A48" s="1" t="s">
        <v>235</v>
      </c>
      <c r="B48" s="64"/>
      <c r="C48" s="64">
        <v>2020.0</v>
      </c>
      <c r="D48" s="64">
        <v>2021.0</v>
      </c>
      <c r="E48" s="64">
        <v>2022.0</v>
      </c>
      <c r="F48" s="64">
        <v>2023.0</v>
      </c>
      <c r="G48" s="64">
        <v>2024.0</v>
      </c>
      <c r="H48" s="1">
        <v>2025.0</v>
      </c>
      <c r="I48" s="1">
        <v>2026.0</v>
      </c>
      <c r="J48" s="1">
        <v>2027.0</v>
      </c>
      <c r="K48" s="1">
        <v>2028.0</v>
      </c>
      <c r="L48" s="1">
        <v>2029.0</v>
      </c>
    </row>
    <row r="49" ht="15.75" customHeight="1">
      <c r="A49" s="3" t="s">
        <v>236</v>
      </c>
      <c r="C49" s="78">
        <f>365*average(B7,C7)/'Income Statement'!C6</f>
        <v>97.60226147</v>
      </c>
      <c r="D49" s="78">
        <f>365*average(C7,D7)/'Income Statement'!D6</f>
        <v>84.35583197</v>
      </c>
      <c r="E49" s="78">
        <f>365*average(D7,E7)/'Income Statement'!E6</f>
        <v>76.35763168</v>
      </c>
      <c r="F49" s="78">
        <f>365*average(E7,F7)/'Income Statement'!F6</f>
        <v>80.96625924</v>
      </c>
      <c r="G49" s="78">
        <f>365*average(F7,G7)/'Income Statement'!G6</f>
        <v>88.35373443</v>
      </c>
      <c r="H49" s="78">
        <f t="shared" ref="H49:H50" si="28">average(C49:G49)</f>
        <v>85.52714376</v>
      </c>
      <c r="I49" s="78">
        <f t="shared" ref="I49:L49" si="27">H49</f>
        <v>85.52714376</v>
      </c>
      <c r="J49" s="78">
        <f t="shared" si="27"/>
        <v>85.52714376</v>
      </c>
      <c r="K49" s="78">
        <f t="shared" si="27"/>
        <v>85.52714376</v>
      </c>
      <c r="L49" s="78">
        <f t="shared" si="27"/>
        <v>85.52714376</v>
      </c>
    </row>
    <row r="50" ht="15.75" customHeight="1">
      <c r="A50" s="3" t="s">
        <v>237</v>
      </c>
      <c r="C50" s="78">
        <f>365*average(B23,C23)/(sum('Income Statement'!C10:C12))</f>
        <v>81.94826904</v>
      </c>
      <c r="D50" s="78">
        <f>365*average(C23,D23)/(sum('Income Statement'!D10:D12))</f>
        <v>80.93580235</v>
      </c>
      <c r="E50" s="78">
        <f>365*average(D23,E23)/(sum('Income Statement'!E10:E12))</f>
        <v>88.2609643</v>
      </c>
      <c r="F50" s="78">
        <f>365*average(E23,F23)/(sum('Income Statement'!F10:F12))</f>
        <v>89.18150012</v>
      </c>
      <c r="G50" s="78">
        <f>365*average(F23,G23)/(sum('Income Statement'!G10:G12))</f>
        <v>89.43882051</v>
      </c>
      <c r="H50" s="78">
        <f t="shared" si="28"/>
        <v>85.95307126</v>
      </c>
      <c r="I50" s="78">
        <f t="shared" ref="I50:L50" si="29">H50</f>
        <v>85.95307126</v>
      </c>
      <c r="J50" s="78">
        <f t="shared" si="29"/>
        <v>85.95307126</v>
      </c>
      <c r="K50" s="78">
        <f t="shared" si="29"/>
        <v>85.95307126</v>
      </c>
      <c r="L50" s="78">
        <f t="shared" si="29"/>
        <v>85.95307126</v>
      </c>
    </row>
    <row r="51" ht="15.75" customHeight="1"/>
    <row r="52" ht="15.75" customHeight="1">
      <c r="A52" s="3" t="s">
        <v>238</v>
      </c>
      <c r="B52" s="64">
        <v>2025.0</v>
      </c>
      <c r="C52" s="64">
        <v>2026.0</v>
      </c>
      <c r="D52" s="64">
        <v>2027.0</v>
      </c>
      <c r="E52" s="64">
        <v>2028.0</v>
      </c>
      <c r="F52" s="64">
        <v>2029.0</v>
      </c>
      <c r="G52" s="13" t="s">
        <v>123</v>
      </c>
    </row>
    <row r="53" ht="15.75" customHeight="1">
      <c r="A53" s="3" t="s">
        <v>239</v>
      </c>
      <c r="B53" s="55">
        <v>0.27</v>
      </c>
      <c r="C53" s="55">
        <v>0.24</v>
      </c>
      <c r="D53" s="55">
        <v>0.22</v>
      </c>
      <c r="E53" s="55">
        <v>0.2</v>
      </c>
      <c r="F53" s="55">
        <v>0.18</v>
      </c>
      <c r="G53" s="14">
        <v>1.0</v>
      </c>
    </row>
    <row r="54" ht="15.75" customHeight="1">
      <c r="A54" s="3" t="s">
        <v>125</v>
      </c>
      <c r="B54" s="55">
        <v>0.12</v>
      </c>
      <c r="C54" s="55">
        <v>0.1</v>
      </c>
      <c r="D54" s="55">
        <v>0.08</v>
      </c>
      <c r="E54" s="55">
        <v>0.08</v>
      </c>
      <c r="F54" s="55">
        <v>0.08</v>
      </c>
      <c r="G54" s="14">
        <v>2.0</v>
      </c>
    </row>
    <row r="55" ht="15.75" customHeight="1">
      <c r="A55" s="3" t="s">
        <v>126</v>
      </c>
      <c r="B55" s="55">
        <v>0.2</v>
      </c>
      <c r="C55" s="55">
        <v>0.18</v>
      </c>
      <c r="D55" s="55">
        <v>0.15</v>
      </c>
      <c r="E55" s="55">
        <v>0.14</v>
      </c>
      <c r="F55" s="55">
        <v>0.13</v>
      </c>
      <c r="G55" s="14">
        <v>3.0</v>
      </c>
    </row>
    <row r="56" ht="15.75" customHeight="1">
      <c r="A56" s="3" t="s">
        <v>127</v>
      </c>
      <c r="B56" s="55">
        <v>0.28</v>
      </c>
      <c r="C56" s="55">
        <v>0.27</v>
      </c>
      <c r="D56" s="55">
        <v>0.27</v>
      </c>
      <c r="E56" s="55">
        <v>0.2</v>
      </c>
      <c r="F56" s="55">
        <v>0.18</v>
      </c>
      <c r="G56" s="14">
        <v>4.0</v>
      </c>
    </row>
    <row r="57" ht="15.75" customHeight="1">
      <c r="A57" s="3" t="s">
        <v>128</v>
      </c>
      <c r="B57" s="55">
        <v>0.36</v>
      </c>
      <c r="C57" s="55">
        <v>0.36</v>
      </c>
      <c r="D57" s="55">
        <v>0.3</v>
      </c>
      <c r="E57" s="55">
        <v>0.25</v>
      </c>
      <c r="F57" s="55">
        <v>0.23</v>
      </c>
      <c r="G57" s="14">
        <v>5.0</v>
      </c>
    </row>
    <row r="58" ht="15.75" customHeight="1">
      <c r="A58" s="1" t="s">
        <v>240</v>
      </c>
      <c r="B58" s="79">
        <f t="shared" ref="B58:F58" si="30">IFS($C$3=$G53,B53,$C$3=$G54,B54,$C$3=$G55,B55,$C$3=$G56,B56,$C$3=$G57,B57)</f>
        <v>0.27</v>
      </c>
      <c r="C58" s="79">
        <f t="shared" si="30"/>
        <v>0.24</v>
      </c>
      <c r="D58" s="79">
        <f t="shared" si="30"/>
        <v>0.22</v>
      </c>
      <c r="E58" s="79">
        <f t="shared" si="30"/>
        <v>0.2</v>
      </c>
      <c r="F58" s="79">
        <f t="shared" si="30"/>
        <v>0.18</v>
      </c>
      <c r="G58" s="14"/>
    </row>
    <row r="59" ht="15.75" customHeight="1">
      <c r="B59" s="14"/>
      <c r="C59" s="14"/>
      <c r="D59" s="14"/>
      <c r="E59" s="14"/>
      <c r="F59" s="14"/>
      <c r="G59" s="14"/>
    </row>
    <row r="60" ht="15.75" customHeight="1">
      <c r="A60" s="3" t="s">
        <v>241</v>
      </c>
      <c r="B60" s="64">
        <v>2025.0</v>
      </c>
      <c r="C60" s="64">
        <v>2026.0</v>
      </c>
      <c r="D60" s="64">
        <v>2027.0</v>
      </c>
      <c r="E60" s="64">
        <v>2028.0</v>
      </c>
      <c r="F60" s="64">
        <v>2029.0</v>
      </c>
      <c r="G60" s="13" t="s">
        <v>123</v>
      </c>
    </row>
    <row r="61" ht="15.75" customHeight="1">
      <c r="A61" s="3" t="s">
        <v>242</v>
      </c>
      <c r="B61" s="70">
        <f>sum('Income Statement'!H10:H12)/sum('Income Statement'!G10:G12)-1</f>
        <v>0.162052792</v>
      </c>
      <c r="C61" s="70">
        <f>sum('Income Statement'!I10:I12)/sum('Income Statement'!H10:H12)-1</f>
        <v>0.3107597297</v>
      </c>
      <c r="D61" s="70">
        <f>sum('Income Statement'!J10:J12)/sum('Income Statement'!I10:I12)-1</f>
        <v>0.2796034893</v>
      </c>
      <c r="E61" s="70">
        <f>sum('Income Statement'!K10:K12)/sum('Income Statement'!J10:J12)-1</f>
        <v>0.1791455815</v>
      </c>
      <c r="F61" s="70">
        <f>sum('Income Statement'!L10:L12)/sum('Income Statement'!K10:K12)-1</f>
        <v>0.2048196561</v>
      </c>
      <c r="G61" s="14">
        <v>1.0</v>
      </c>
    </row>
    <row r="62" ht="15.75" customHeight="1">
      <c r="A62" s="3" t="s">
        <v>125</v>
      </c>
      <c r="B62" s="55"/>
      <c r="C62" s="55"/>
      <c r="D62" s="55"/>
      <c r="E62" s="55"/>
      <c r="F62" s="55"/>
      <c r="G62" s="14">
        <v>2.0</v>
      </c>
    </row>
    <row r="63" ht="15.75" customHeight="1">
      <c r="A63" s="3" t="s">
        <v>126</v>
      </c>
      <c r="B63" s="55"/>
      <c r="C63" s="55"/>
      <c r="D63" s="55"/>
      <c r="E63" s="55"/>
      <c r="F63" s="55"/>
      <c r="G63" s="14">
        <v>3.0</v>
      </c>
    </row>
    <row r="64" ht="15.75" customHeight="1">
      <c r="A64" s="3" t="s">
        <v>127</v>
      </c>
      <c r="B64" s="55"/>
      <c r="C64" s="55"/>
      <c r="D64" s="55"/>
      <c r="E64" s="55"/>
      <c r="F64" s="55"/>
      <c r="G64" s="14">
        <v>4.0</v>
      </c>
    </row>
    <row r="65" ht="15.75" customHeight="1">
      <c r="A65" s="3" t="s">
        <v>128</v>
      </c>
      <c r="B65" s="55"/>
      <c r="C65" s="55"/>
      <c r="D65" s="55"/>
      <c r="E65" s="55"/>
      <c r="F65" s="55"/>
      <c r="G65" s="14">
        <v>5.0</v>
      </c>
    </row>
    <row r="66" ht="15.75" customHeight="1">
      <c r="A66" s="1" t="s">
        <v>243</v>
      </c>
      <c r="B66" s="79">
        <f t="shared" ref="B66:F66" si="31">IFS($C$3=$G61,B61,$C$3=$G62,B62,$C$3=$G63,B63,$C$3=$G64,B64,$C$3=$G65,B65)</f>
        <v>0.162052792</v>
      </c>
      <c r="C66" s="79">
        <f t="shared" si="31"/>
        <v>0.3107597297</v>
      </c>
      <c r="D66" s="79">
        <f t="shared" si="31"/>
        <v>0.2796034893</v>
      </c>
      <c r="E66" s="79">
        <f t="shared" si="31"/>
        <v>0.1791455815</v>
      </c>
      <c r="F66" s="79">
        <f t="shared" si="31"/>
        <v>0.2048196561</v>
      </c>
      <c r="G66" s="14"/>
    </row>
    <row r="67" ht="15.75" customHeight="1"/>
    <row r="68" ht="15.75" customHeight="1">
      <c r="A68" s="3" t="s">
        <v>244</v>
      </c>
      <c r="B68" s="64">
        <v>2025.0</v>
      </c>
      <c r="C68" s="64">
        <v>2026.0</v>
      </c>
      <c r="D68" s="64">
        <v>2027.0</v>
      </c>
      <c r="E68" s="64">
        <v>2028.0</v>
      </c>
      <c r="F68" s="64">
        <v>2029.0</v>
      </c>
      <c r="G68" s="13" t="s">
        <v>123</v>
      </c>
    </row>
    <row r="69" ht="15.75" customHeight="1">
      <c r="A69" s="3" t="s">
        <v>245</v>
      </c>
      <c r="B69" s="55">
        <v>0.27</v>
      </c>
      <c r="C69" s="55">
        <v>0.24</v>
      </c>
      <c r="D69" s="55">
        <v>0.22</v>
      </c>
      <c r="E69" s="55">
        <v>0.2</v>
      </c>
      <c r="F69" s="55">
        <v>0.18</v>
      </c>
      <c r="G69" s="14">
        <v>1.0</v>
      </c>
    </row>
    <row r="70" ht="15.75" customHeight="1">
      <c r="A70" s="3" t="s">
        <v>125</v>
      </c>
      <c r="B70" s="55">
        <v>0.12</v>
      </c>
      <c r="C70" s="55">
        <v>0.1</v>
      </c>
      <c r="D70" s="55">
        <v>0.08</v>
      </c>
      <c r="E70" s="55">
        <v>0.08</v>
      </c>
      <c r="F70" s="55">
        <v>0.08</v>
      </c>
      <c r="G70" s="14">
        <v>2.0</v>
      </c>
    </row>
    <row r="71" ht="15.75" customHeight="1">
      <c r="A71" s="3" t="s">
        <v>126</v>
      </c>
      <c r="B71" s="55">
        <v>0.2</v>
      </c>
      <c r="C71" s="55">
        <v>0.18</v>
      </c>
      <c r="D71" s="55">
        <v>0.15</v>
      </c>
      <c r="E71" s="55">
        <v>0.14</v>
      </c>
      <c r="F71" s="55">
        <v>0.13</v>
      </c>
      <c r="G71" s="14">
        <v>3.0</v>
      </c>
    </row>
    <row r="72" ht="15.75" customHeight="1">
      <c r="A72" s="3" t="s">
        <v>127</v>
      </c>
      <c r="B72" s="55">
        <v>0.28</v>
      </c>
      <c r="C72" s="55">
        <v>0.27</v>
      </c>
      <c r="D72" s="55">
        <v>0.27</v>
      </c>
      <c r="E72" s="55">
        <v>0.2</v>
      </c>
      <c r="F72" s="55">
        <v>0.18</v>
      </c>
      <c r="G72" s="14">
        <v>4.0</v>
      </c>
    </row>
    <row r="73" ht="15.75" customHeight="1">
      <c r="A73" s="3" t="s">
        <v>128</v>
      </c>
      <c r="B73" s="55">
        <v>0.36</v>
      </c>
      <c r="C73" s="55">
        <v>0.36</v>
      </c>
      <c r="D73" s="55">
        <v>0.3</v>
      </c>
      <c r="E73" s="55">
        <v>0.25</v>
      </c>
      <c r="F73" s="55">
        <v>0.23</v>
      </c>
      <c r="G73" s="14">
        <v>5.0</v>
      </c>
    </row>
    <row r="74" ht="15.75" customHeight="1">
      <c r="A74" s="1" t="s">
        <v>246</v>
      </c>
      <c r="B74" s="79">
        <f t="shared" ref="B74:F74" si="32">IFS($C$3=$G69,B69,$C$3=$G70,B70,$C$3=$G71,B71,$C$3=$G72,B72,$C$3=$G73,B73)</f>
        <v>0.27</v>
      </c>
      <c r="C74" s="79">
        <f t="shared" si="32"/>
        <v>0.24</v>
      </c>
      <c r="D74" s="79">
        <f t="shared" si="32"/>
        <v>0.22</v>
      </c>
      <c r="E74" s="79">
        <f t="shared" si="32"/>
        <v>0.2</v>
      </c>
      <c r="F74" s="79">
        <f t="shared" si="32"/>
        <v>0.18</v>
      </c>
      <c r="G74" s="14"/>
    </row>
    <row r="75" ht="15.75" customHeight="1"/>
    <row r="76" ht="15.75" customHeight="1">
      <c r="A76" s="1" t="s">
        <v>247</v>
      </c>
      <c r="B76" s="64">
        <v>2025.0</v>
      </c>
      <c r="C76" s="64">
        <v>2026.0</v>
      </c>
      <c r="D76" s="64">
        <v>2027.0</v>
      </c>
      <c r="E76" s="64">
        <v>2028.0</v>
      </c>
      <c r="F76" s="64">
        <v>2029.0</v>
      </c>
      <c r="G76" s="13" t="s">
        <v>123</v>
      </c>
    </row>
    <row r="77" ht="15.75" customHeight="1">
      <c r="A77" s="3" t="s">
        <v>245</v>
      </c>
      <c r="B77" s="55">
        <v>0.27</v>
      </c>
      <c r="C77" s="55">
        <v>0.24</v>
      </c>
      <c r="D77" s="55">
        <v>0.22</v>
      </c>
      <c r="E77" s="55">
        <v>0.2</v>
      </c>
      <c r="F77" s="55">
        <v>0.18</v>
      </c>
      <c r="G77" s="14">
        <v>1.0</v>
      </c>
      <c r="H77" s="80"/>
      <c r="I77" s="80"/>
      <c r="J77" s="80"/>
      <c r="K77" s="80"/>
      <c r="L77" s="80"/>
      <c r="M77" s="80"/>
      <c r="N77" s="80"/>
      <c r="O77" s="80"/>
      <c r="P77" s="80"/>
      <c r="Q77" s="80"/>
      <c r="R77" s="80"/>
      <c r="S77" s="80"/>
      <c r="T77" s="80"/>
      <c r="U77" s="80"/>
      <c r="V77" s="80"/>
      <c r="W77" s="80"/>
      <c r="X77" s="80"/>
      <c r="Y77" s="80"/>
      <c r="Z77" s="80"/>
      <c r="AA77" s="80"/>
    </row>
    <row r="78" ht="15.75" customHeight="1">
      <c r="A78" s="3" t="s">
        <v>125</v>
      </c>
      <c r="B78" s="55">
        <v>0.12</v>
      </c>
      <c r="C78" s="55">
        <v>0.1</v>
      </c>
      <c r="D78" s="55">
        <v>0.08</v>
      </c>
      <c r="E78" s="55">
        <v>0.08</v>
      </c>
      <c r="F78" s="55">
        <v>0.08</v>
      </c>
      <c r="G78" s="14">
        <v>2.0</v>
      </c>
    </row>
    <row r="79" ht="15.75" customHeight="1">
      <c r="A79" s="3" t="s">
        <v>126</v>
      </c>
      <c r="B79" s="55">
        <v>0.2</v>
      </c>
      <c r="C79" s="55">
        <v>0.18</v>
      </c>
      <c r="D79" s="55">
        <v>0.15</v>
      </c>
      <c r="E79" s="55">
        <v>0.14</v>
      </c>
      <c r="F79" s="55">
        <v>0.13</v>
      </c>
      <c r="G79" s="14">
        <v>3.0</v>
      </c>
    </row>
    <row r="80" ht="15.75" customHeight="1">
      <c r="A80" s="3" t="s">
        <v>127</v>
      </c>
      <c r="B80" s="55">
        <v>0.28</v>
      </c>
      <c r="C80" s="55">
        <v>0.27</v>
      </c>
      <c r="D80" s="55">
        <v>0.27</v>
      </c>
      <c r="E80" s="55">
        <v>0.2</v>
      </c>
      <c r="F80" s="55">
        <v>0.18</v>
      </c>
      <c r="G80" s="14">
        <v>4.0</v>
      </c>
    </row>
    <row r="81" ht="15.75" customHeight="1">
      <c r="A81" s="3" t="s">
        <v>128</v>
      </c>
      <c r="B81" s="55">
        <v>0.36</v>
      </c>
      <c r="C81" s="55">
        <v>0.36</v>
      </c>
      <c r="D81" s="55">
        <v>0.3</v>
      </c>
      <c r="E81" s="55">
        <v>0.25</v>
      </c>
      <c r="F81" s="55">
        <v>0.23</v>
      </c>
      <c r="G81" s="14">
        <v>5.0</v>
      </c>
    </row>
    <row r="82" ht="15.75" customHeight="1">
      <c r="A82" s="1" t="s">
        <v>246</v>
      </c>
      <c r="B82" s="79">
        <f t="shared" ref="B82:F82" si="33">IFS($C$3=$G77,B77,$C$3=$G78,B78,$C$3=$G79,B79,$C$3=$G80,B80,$C$3=$G81,B81)</f>
        <v>0.27</v>
      </c>
      <c r="C82" s="79">
        <f t="shared" si="33"/>
        <v>0.24</v>
      </c>
      <c r="D82" s="79">
        <f t="shared" si="33"/>
        <v>0.22</v>
      </c>
      <c r="E82" s="79">
        <f t="shared" si="33"/>
        <v>0.2</v>
      </c>
      <c r="F82" s="79">
        <f t="shared" si="33"/>
        <v>0.18</v>
      </c>
      <c r="G82" s="14"/>
    </row>
    <row r="83" ht="15.75" customHeight="1"/>
    <row r="84" ht="15.75" customHeight="1">
      <c r="B84" s="14"/>
      <c r="C84" s="14"/>
      <c r="D84" s="14"/>
      <c r="E84" s="14"/>
      <c r="F84" s="14"/>
      <c r="G84" s="14"/>
    </row>
    <row r="85" ht="15.75" customHeight="1">
      <c r="A85" s="1" t="s">
        <v>248</v>
      </c>
      <c r="B85" s="64">
        <v>2025.0</v>
      </c>
      <c r="C85" s="64">
        <v>2026.0</v>
      </c>
      <c r="D85" s="64">
        <v>2027.0</v>
      </c>
      <c r="E85" s="64">
        <v>2028.0</v>
      </c>
      <c r="F85" s="64">
        <v>2029.0</v>
      </c>
      <c r="G85" s="64"/>
    </row>
    <row r="86" ht="15.75" customHeight="1">
      <c r="A86" s="3" t="s">
        <v>249</v>
      </c>
      <c r="B86" s="14">
        <f>G13</f>
        <v>620172</v>
      </c>
      <c r="C86" s="81">
        <f t="shared" ref="C86:F86" si="34">B89</f>
        <v>877203.3728</v>
      </c>
      <c r="D86" s="81">
        <f t="shared" si="34"/>
        <v>1153229.658</v>
      </c>
      <c r="E86" s="81">
        <f t="shared" si="34"/>
        <v>1458720.388</v>
      </c>
      <c r="F86" s="81">
        <f t="shared" si="34"/>
        <v>1768200.537</v>
      </c>
      <c r="G86" s="14"/>
    </row>
    <row r="87" ht="15.75" customHeight="1">
      <c r="A87" s="3" t="s">
        <v>250</v>
      </c>
      <c r="B87" s="57">
        <f>'Cash Flow Statement'!H34*-1</f>
        <v>479836.716</v>
      </c>
      <c r="C87" s="57">
        <f>'Cash Flow Statement'!I34*-1</f>
        <v>623539.5355</v>
      </c>
      <c r="D87" s="57">
        <f>'Cash Flow Statement'!J34*-1</f>
        <v>816254.9759</v>
      </c>
      <c r="E87" s="57">
        <f>'Cash Flow Statement'!K34*-1</f>
        <v>1025305.493</v>
      </c>
      <c r="F87" s="57">
        <f>'Cash Flow Statement'!L34*-1</f>
        <v>1253112.289</v>
      </c>
      <c r="G87" s="57"/>
    </row>
    <row r="88" ht="15.75" customHeight="1">
      <c r="A88" s="3" t="s">
        <v>251</v>
      </c>
      <c r="B88" s="57">
        <f>'Cash Flow Statement'!H92</f>
        <v>222805.3432</v>
      </c>
      <c r="C88" s="57">
        <f>'Cash Flow Statement'!I92</f>
        <v>347513.2503</v>
      </c>
      <c r="D88" s="57">
        <f>'Cash Flow Statement'!J92</f>
        <v>510764.2455</v>
      </c>
      <c r="E88" s="57">
        <f>'Cash Flow Statement'!K92</f>
        <v>715825.3441</v>
      </c>
      <c r="F88" s="57">
        <f>'Cash Flow Statement'!L92</f>
        <v>966447.8019</v>
      </c>
      <c r="G88" s="57"/>
    </row>
    <row r="89" ht="15.75" customHeight="1">
      <c r="A89" s="3" t="s">
        <v>252</v>
      </c>
      <c r="B89" s="81">
        <f t="shared" ref="B89:F89" si="35">B86+B87-B88</f>
        <v>877203.3728</v>
      </c>
      <c r="C89" s="81">
        <f t="shared" si="35"/>
        <v>1153229.658</v>
      </c>
      <c r="D89" s="81">
        <f t="shared" si="35"/>
        <v>1458720.388</v>
      </c>
      <c r="E89" s="81">
        <f t="shared" si="35"/>
        <v>1768200.537</v>
      </c>
      <c r="F89" s="81">
        <f t="shared" si="35"/>
        <v>2054865.024</v>
      </c>
      <c r="G89" s="23"/>
    </row>
    <row r="90" ht="15.75" customHeight="1">
      <c r="B90" s="14"/>
      <c r="C90" s="14"/>
      <c r="D90" s="14"/>
      <c r="E90" s="14"/>
      <c r="F90" s="14"/>
      <c r="G90" s="14"/>
    </row>
    <row r="91" ht="15.75" customHeight="1">
      <c r="A91" s="1" t="s">
        <v>253</v>
      </c>
      <c r="B91" s="64">
        <v>2025.0</v>
      </c>
      <c r="C91" s="64">
        <v>2026.0</v>
      </c>
      <c r="D91" s="64">
        <v>2027.0</v>
      </c>
      <c r="E91" s="64">
        <v>2028.0</v>
      </c>
      <c r="F91" s="64">
        <v>2029.0</v>
      </c>
      <c r="G91" s="13" t="s">
        <v>123</v>
      </c>
    </row>
    <row r="92" ht="15.75" customHeight="1">
      <c r="A92" s="3" t="s">
        <v>254</v>
      </c>
      <c r="B92" s="55">
        <v>0.27</v>
      </c>
      <c r="C92" s="55">
        <v>0.24</v>
      </c>
      <c r="D92" s="55">
        <v>0.22</v>
      </c>
      <c r="E92" s="55">
        <v>0.2</v>
      </c>
      <c r="F92" s="55">
        <v>0.18</v>
      </c>
      <c r="G92" s="14">
        <v>1.0</v>
      </c>
    </row>
    <row r="93" ht="15.75" customHeight="1">
      <c r="B93" s="55">
        <v>0.12</v>
      </c>
      <c r="C93" s="55">
        <v>0.1</v>
      </c>
      <c r="D93" s="55">
        <v>0.08</v>
      </c>
      <c r="E93" s="55">
        <v>0.08</v>
      </c>
      <c r="F93" s="55">
        <v>0.08</v>
      </c>
      <c r="G93" s="14">
        <v>2.0</v>
      </c>
    </row>
    <row r="94" ht="15.75" customHeight="1">
      <c r="B94" s="55">
        <v>0.2</v>
      </c>
      <c r="C94" s="55">
        <v>0.18</v>
      </c>
      <c r="D94" s="55">
        <v>0.15</v>
      </c>
      <c r="E94" s="55">
        <v>0.14</v>
      </c>
      <c r="F94" s="55">
        <v>0.13</v>
      </c>
      <c r="G94" s="14">
        <v>3.0</v>
      </c>
    </row>
    <row r="95" ht="15.75" customHeight="1">
      <c r="B95" s="55">
        <v>0.28</v>
      </c>
      <c r="C95" s="55">
        <v>0.27</v>
      </c>
      <c r="D95" s="55">
        <v>0.27</v>
      </c>
      <c r="E95" s="55">
        <v>0.2</v>
      </c>
      <c r="F95" s="55">
        <v>0.18</v>
      </c>
      <c r="G95" s="14">
        <v>4.0</v>
      </c>
    </row>
    <row r="96" ht="15.75" customHeight="1">
      <c r="B96" s="55">
        <v>0.36</v>
      </c>
      <c r="C96" s="55">
        <v>0.36</v>
      </c>
      <c r="D96" s="55">
        <v>0.3</v>
      </c>
      <c r="E96" s="55">
        <v>0.25</v>
      </c>
      <c r="F96" s="55">
        <v>0.23</v>
      </c>
      <c r="G96" s="14">
        <v>5.0</v>
      </c>
    </row>
    <row r="97" ht="15.75" customHeight="1">
      <c r="B97" s="79">
        <f t="shared" ref="B97:F97" si="36">IFS($C$3=$G92,B92,$C$3=$G93,B93,$C$3=$G94,B94,$C$3=$G95,B95,$C$3=$G96,B96)</f>
        <v>0.27</v>
      </c>
      <c r="C97" s="79">
        <f t="shared" si="36"/>
        <v>0.24</v>
      </c>
      <c r="D97" s="79">
        <f t="shared" si="36"/>
        <v>0.22</v>
      </c>
      <c r="E97" s="79">
        <f t="shared" si="36"/>
        <v>0.2</v>
      </c>
      <c r="F97" s="79">
        <f t="shared" si="36"/>
        <v>0.18</v>
      </c>
      <c r="G97" s="14"/>
    </row>
    <row r="98" ht="15.75" customHeight="1">
      <c r="B98" s="14"/>
      <c r="C98" s="14"/>
      <c r="D98" s="14"/>
      <c r="E98" s="14"/>
      <c r="F98" s="14"/>
      <c r="G98" s="14"/>
    </row>
    <row r="99" ht="15.75" customHeight="1">
      <c r="A99" s="1" t="s">
        <v>255</v>
      </c>
      <c r="B99" s="64">
        <v>2025.0</v>
      </c>
      <c r="C99" s="64">
        <v>2026.0</v>
      </c>
      <c r="D99" s="64">
        <v>2027.0</v>
      </c>
      <c r="E99" s="64">
        <v>2028.0</v>
      </c>
      <c r="F99" s="64">
        <v>2029.0</v>
      </c>
      <c r="G99" s="14"/>
    </row>
    <row r="100" ht="15.75" customHeight="1">
      <c r="A100" s="3" t="s">
        <v>256</v>
      </c>
      <c r="B100" s="14">
        <f>G8+G15</f>
        <v>582303</v>
      </c>
      <c r="C100" s="14">
        <f t="shared" ref="C100:F100" si="37">B103</f>
        <v>874170.84</v>
      </c>
      <c r="D100" s="14">
        <f t="shared" si="37"/>
        <v>1148071.845</v>
      </c>
      <c r="E100" s="14">
        <f t="shared" si="37"/>
        <v>1405235.696</v>
      </c>
      <c r="F100" s="14">
        <f t="shared" si="37"/>
        <v>1592674.297</v>
      </c>
      <c r="G100" s="14"/>
    </row>
    <row r="101" ht="15.75" customHeight="1">
      <c r="A101" s="3" t="s">
        <v>257</v>
      </c>
      <c r="B101" s="57">
        <f>'Cash Flow Statement'!B115</f>
        <v>707691.7866</v>
      </c>
      <c r="C101" s="57">
        <f>'Cash Flow Statement'!C115</f>
        <v>919633.2694</v>
      </c>
      <c r="D101" s="57">
        <f>'Cash Flow Statement'!D115</f>
        <v>1203861.486</v>
      </c>
      <c r="E101" s="57">
        <f>'Cash Flow Statement'!E115</f>
        <v>1512181.648</v>
      </c>
      <c r="F101" s="57">
        <f>'Cash Flow Statement'!F115</f>
        <v>1848164.688</v>
      </c>
      <c r="G101" s="14"/>
    </row>
    <row r="102" ht="15.75" customHeight="1">
      <c r="A102" s="3" t="s">
        <v>258</v>
      </c>
      <c r="B102" s="57">
        <f>'Cash Flow Statement'!H132</f>
        <v>415823.9467</v>
      </c>
      <c r="C102" s="57">
        <f>'Cash Flow Statement'!I132</f>
        <v>645732.264</v>
      </c>
      <c r="D102" s="57">
        <f>'Cash Flow Statement'!J132</f>
        <v>946697.6356</v>
      </c>
      <c r="E102" s="57">
        <f>'Cash Flow Statement'!K132</f>
        <v>1324743.048</v>
      </c>
      <c r="F102" s="57">
        <f>'Cash Flow Statement'!L132</f>
        <v>1786784.22</v>
      </c>
      <c r="G102" s="14"/>
    </row>
    <row r="103" ht="15.75" customHeight="1">
      <c r="A103" s="3" t="s">
        <v>259</v>
      </c>
      <c r="B103" s="14">
        <f t="shared" ref="B103:F103" si="38">B100+B101-B102</f>
        <v>874170.84</v>
      </c>
      <c r="C103" s="14">
        <f t="shared" si="38"/>
        <v>1148071.845</v>
      </c>
      <c r="D103" s="14">
        <f t="shared" si="38"/>
        <v>1405235.696</v>
      </c>
      <c r="E103" s="14">
        <f t="shared" si="38"/>
        <v>1592674.297</v>
      </c>
      <c r="F103" s="14">
        <f t="shared" si="38"/>
        <v>1654054.765</v>
      </c>
      <c r="G103" s="14"/>
    </row>
    <row r="104" ht="15.75" customHeight="1">
      <c r="B104" s="14"/>
      <c r="C104" s="14"/>
      <c r="D104" s="14"/>
      <c r="E104" s="14"/>
      <c r="F104" s="14"/>
      <c r="G104" s="14"/>
    </row>
    <row r="105" ht="15.75" customHeight="1">
      <c r="A105" s="1" t="s">
        <v>260</v>
      </c>
      <c r="B105" s="64">
        <v>2025.0</v>
      </c>
      <c r="C105" s="64">
        <v>2026.0</v>
      </c>
      <c r="D105" s="64">
        <v>2027.0</v>
      </c>
      <c r="E105" s="64">
        <v>2028.0</v>
      </c>
      <c r="F105" s="64">
        <v>2029.0</v>
      </c>
      <c r="G105" s="14"/>
    </row>
    <row r="106" ht="15.75" customHeight="1">
      <c r="A106" s="3" t="s">
        <v>261</v>
      </c>
      <c r="B106" s="14">
        <f>G17</f>
        <v>114518</v>
      </c>
      <c r="C106" s="81">
        <f t="shared" ref="C106:F106" si="39">B109</f>
        <v>102886.2901</v>
      </c>
      <c r="D106" s="81">
        <f t="shared" si="39"/>
        <v>92929.29007</v>
      </c>
      <c r="E106" s="81">
        <f t="shared" si="39"/>
        <v>85233.04141</v>
      </c>
      <c r="F106" s="81">
        <f t="shared" si="39"/>
        <v>79885.09345</v>
      </c>
      <c r="G106" s="14"/>
    </row>
    <row r="107" ht="15.75" customHeight="1">
      <c r="A107" s="3" t="s">
        <v>262</v>
      </c>
      <c r="B107" s="57">
        <f>'Cash Flow Statement'!H38*-1</f>
        <v>7141.357956</v>
      </c>
      <c r="C107" s="57">
        <f>'Cash Flow Statement'!I38*-1</f>
        <v>9280.071479</v>
      </c>
      <c r="D107" s="57">
        <f>'Cash Flow Statement'!J38*-1</f>
        <v>12148.23454</v>
      </c>
      <c r="E107" s="57">
        <f>'Cash Flow Statement'!K38*-1</f>
        <v>15259.51078</v>
      </c>
      <c r="F107" s="57">
        <f>'Cash Flow Statement'!L38*-1</f>
        <v>18649.93469</v>
      </c>
      <c r="G107" s="14"/>
    </row>
    <row r="108" ht="15.75" customHeight="1">
      <c r="A108" s="3" t="s">
        <v>258</v>
      </c>
      <c r="B108" s="57">
        <f>'Cash Flow Statement'!H9</f>
        <v>18773.0679</v>
      </c>
      <c r="C108" s="57">
        <f>'Cash Flow Statement'!I9</f>
        <v>19237.07147</v>
      </c>
      <c r="D108" s="57">
        <f>'Cash Flow Statement'!J9</f>
        <v>19844.4832</v>
      </c>
      <c r="E108" s="57">
        <f>'Cash Flow Statement'!K9</f>
        <v>20607.45874</v>
      </c>
      <c r="F108" s="57">
        <f>'Cash Flow Statement'!L9</f>
        <v>21539.95547</v>
      </c>
      <c r="G108" s="14"/>
    </row>
    <row r="109" ht="15.75" customHeight="1">
      <c r="A109" s="3" t="s">
        <v>263</v>
      </c>
      <c r="B109" s="81">
        <f t="shared" ref="B109:F109" si="40">B106+B107-B108</f>
        <v>102886.2901</v>
      </c>
      <c r="C109" s="81">
        <f t="shared" si="40"/>
        <v>92929.29007</v>
      </c>
      <c r="D109" s="81">
        <f t="shared" si="40"/>
        <v>85233.04141</v>
      </c>
      <c r="E109" s="81">
        <f t="shared" si="40"/>
        <v>79885.09345</v>
      </c>
      <c r="F109" s="81">
        <f t="shared" si="40"/>
        <v>76995.07266</v>
      </c>
      <c r="G109" s="14"/>
    </row>
    <row r="110" ht="15.75" customHeight="1">
      <c r="B110" s="14"/>
      <c r="C110" s="14"/>
      <c r="D110" s="14"/>
      <c r="E110" s="14"/>
      <c r="F110" s="14"/>
      <c r="G110" s="14"/>
    </row>
    <row r="111" ht="15.75" customHeight="1">
      <c r="B111" s="14"/>
      <c r="C111" s="14"/>
      <c r="D111" s="14"/>
      <c r="E111" s="14"/>
      <c r="F111" s="14"/>
      <c r="G111" s="14"/>
    </row>
    <row r="112" ht="15.75" customHeight="1">
      <c r="B112" s="14"/>
      <c r="C112" s="14"/>
      <c r="D112" s="14"/>
      <c r="E112" s="14"/>
      <c r="F112" s="14"/>
      <c r="G112" s="14"/>
    </row>
    <row r="113" ht="15.75" customHeight="1">
      <c r="B113" s="14"/>
      <c r="C113" s="14"/>
      <c r="D113" s="14"/>
      <c r="E113" s="14"/>
      <c r="F113" s="14"/>
      <c r="G113" s="14"/>
    </row>
    <row r="114" ht="15.75" customHeight="1">
      <c r="B114" s="14"/>
      <c r="C114" s="14"/>
      <c r="D114" s="14"/>
      <c r="E114" s="14"/>
      <c r="F114" s="14"/>
      <c r="G114" s="14"/>
    </row>
    <row r="115" ht="15.75" customHeight="1">
      <c r="B115" s="14"/>
      <c r="C115" s="14"/>
      <c r="D115" s="14"/>
      <c r="E115" s="14"/>
      <c r="F115" s="14"/>
      <c r="G115" s="14"/>
    </row>
    <row r="116" ht="15.75" customHeight="1">
      <c r="B116" s="14"/>
      <c r="C116" s="14"/>
      <c r="D116" s="14"/>
      <c r="E116" s="14"/>
      <c r="F116" s="14"/>
      <c r="G116" s="14"/>
    </row>
    <row r="117" ht="15.75" customHeight="1">
      <c r="B117" s="14"/>
      <c r="C117" s="14"/>
      <c r="D117" s="14"/>
      <c r="E117" s="14"/>
      <c r="F117" s="14"/>
      <c r="G117" s="14"/>
    </row>
    <row r="118" ht="15.75" customHeight="1">
      <c r="B118" s="14"/>
      <c r="C118" s="14"/>
      <c r="D118" s="14"/>
      <c r="E118" s="14"/>
      <c r="F118" s="14"/>
      <c r="G118" s="14"/>
    </row>
    <row r="119" ht="15.75" customHeight="1">
      <c r="B119" s="14"/>
      <c r="C119" s="14"/>
      <c r="D119" s="14"/>
      <c r="E119" s="14"/>
      <c r="F119" s="14"/>
      <c r="G119" s="14"/>
    </row>
    <row r="120" ht="15.75" customHeight="1">
      <c r="B120" s="14"/>
      <c r="C120" s="14"/>
      <c r="D120" s="14"/>
      <c r="E120" s="14"/>
      <c r="F120" s="14"/>
      <c r="G120" s="14"/>
    </row>
    <row r="121" ht="15.75" customHeight="1">
      <c r="B121" s="14"/>
      <c r="C121" s="14"/>
      <c r="D121" s="14"/>
      <c r="E121" s="14"/>
      <c r="F121" s="14"/>
      <c r="G121" s="14"/>
    </row>
    <row r="122" ht="15.75" customHeight="1">
      <c r="B122" s="14"/>
      <c r="C122" s="14"/>
      <c r="D122" s="14"/>
      <c r="E122" s="14"/>
      <c r="F122" s="14"/>
      <c r="G122" s="14"/>
    </row>
    <row r="123" ht="15.75" customHeight="1">
      <c r="B123" s="14"/>
      <c r="C123" s="14"/>
      <c r="D123" s="14"/>
      <c r="E123" s="14"/>
      <c r="F123" s="14"/>
      <c r="G123" s="14"/>
    </row>
    <row r="124" ht="15.75" customHeight="1">
      <c r="B124" s="14"/>
      <c r="C124" s="14"/>
      <c r="D124" s="14"/>
      <c r="E124" s="14"/>
      <c r="F124" s="14"/>
      <c r="G124" s="14"/>
    </row>
    <row r="125" ht="15.75" customHeight="1">
      <c r="B125" s="14"/>
      <c r="C125" s="14"/>
      <c r="D125" s="14"/>
      <c r="E125" s="14"/>
      <c r="F125" s="14"/>
      <c r="G125" s="14"/>
    </row>
    <row r="126" ht="15.75" customHeight="1">
      <c r="B126" s="14"/>
      <c r="C126" s="14"/>
      <c r="D126" s="14"/>
      <c r="E126" s="14"/>
      <c r="F126" s="14"/>
      <c r="G126" s="14"/>
    </row>
    <row r="127" ht="15.75" customHeight="1">
      <c r="B127" s="14"/>
      <c r="C127" s="14"/>
      <c r="D127" s="14"/>
      <c r="E127" s="14"/>
      <c r="F127" s="14"/>
      <c r="G127" s="14"/>
    </row>
    <row r="128" ht="15.75" customHeight="1">
      <c r="B128" s="14"/>
      <c r="C128" s="14"/>
      <c r="D128" s="14"/>
      <c r="E128" s="14"/>
      <c r="F128" s="14"/>
      <c r="G128" s="14"/>
    </row>
    <row r="129" ht="15.75" customHeight="1">
      <c r="B129" s="14"/>
      <c r="C129" s="14"/>
      <c r="D129" s="14"/>
      <c r="E129" s="14"/>
      <c r="F129" s="14"/>
      <c r="G129" s="14"/>
    </row>
    <row r="130" ht="15.75" customHeight="1">
      <c r="B130" s="14"/>
      <c r="C130" s="14"/>
      <c r="D130" s="14"/>
      <c r="E130" s="14"/>
      <c r="F130" s="14"/>
      <c r="G130" s="14"/>
    </row>
    <row r="131" ht="15.75" customHeight="1">
      <c r="B131" s="14"/>
      <c r="C131" s="14"/>
      <c r="D131" s="14"/>
      <c r="E131" s="14"/>
      <c r="F131" s="14"/>
      <c r="G131" s="14"/>
    </row>
    <row r="132" ht="15.75" customHeight="1">
      <c r="B132" s="14"/>
      <c r="C132" s="14"/>
      <c r="D132" s="14"/>
      <c r="E132" s="14"/>
      <c r="F132" s="14"/>
      <c r="G132" s="14"/>
    </row>
    <row r="133" ht="15.75" customHeight="1">
      <c r="B133" s="14"/>
      <c r="C133" s="14"/>
      <c r="D133" s="14"/>
      <c r="E133" s="14"/>
      <c r="F133" s="14"/>
      <c r="G133" s="14"/>
    </row>
    <row r="134" ht="15.75" customHeight="1">
      <c r="B134" s="14"/>
      <c r="C134" s="14"/>
      <c r="D134" s="14"/>
      <c r="E134" s="14"/>
      <c r="F134" s="14"/>
      <c r="G134" s="14"/>
    </row>
    <row r="135" ht="15.75" customHeight="1">
      <c r="B135" s="14"/>
      <c r="C135" s="14"/>
      <c r="D135" s="14"/>
      <c r="E135" s="14"/>
      <c r="F135" s="14"/>
      <c r="G135" s="14"/>
    </row>
    <row r="136" ht="15.75" customHeight="1">
      <c r="B136" s="14"/>
      <c r="C136" s="14"/>
      <c r="D136" s="14"/>
      <c r="E136" s="14"/>
      <c r="F136" s="14"/>
      <c r="G136" s="14"/>
    </row>
    <row r="137" ht="15.75" customHeight="1">
      <c r="B137" s="14"/>
      <c r="C137" s="14"/>
      <c r="D137" s="14"/>
      <c r="E137" s="14"/>
      <c r="F137" s="14"/>
      <c r="G137" s="14"/>
    </row>
    <row r="138" ht="15.75" customHeight="1">
      <c r="B138" s="14"/>
      <c r="C138" s="14"/>
      <c r="D138" s="14"/>
      <c r="E138" s="14"/>
      <c r="F138" s="14"/>
      <c r="G138" s="14"/>
    </row>
    <row r="139" ht="15.75" customHeight="1">
      <c r="B139" s="14"/>
      <c r="C139" s="14"/>
      <c r="D139" s="14"/>
      <c r="E139" s="14"/>
      <c r="F139" s="14"/>
      <c r="G139" s="14"/>
    </row>
    <row r="140" ht="15.75" customHeight="1">
      <c r="B140" s="14"/>
      <c r="C140" s="14"/>
      <c r="D140" s="14"/>
      <c r="E140" s="14"/>
      <c r="F140" s="14"/>
      <c r="G140" s="14"/>
    </row>
    <row r="141" ht="15.75" customHeight="1">
      <c r="B141" s="14"/>
      <c r="C141" s="14"/>
      <c r="D141" s="14"/>
      <c r="E141" s="14"/>
      <c r="F141" s="14"/>
      <c r="G141" s="14"/>
    </row>
    <row r="142" ht="15.75" customHeight="1">
      <c r="B142" s="14"/>
      <c r="C142" s="14"/>
      <c r="D142" s="14"/>
      <c r="E142" s="14"/>
      <c r="F142" s="14"/>
      <c r="G142" s="14"/>
    </row>
    <row r="143" ht="15.75" customHeight="1">
      <c r="B143" s="14"/>
      <c r="C143" s="14"/>
      <c r="D143" s="14"/>
      <c r="E143" s="14"/>
      <c r="F143" s="14"/>
      <c r="G143" s="14"/>
    </row>
    <row r="144" ht="15.75" customHeight="1">
      <c r="B144" s="14"/>
      <c r="C144" s="14"/>
      <c r="D144" s="14"/>
      <c r="E144" s="14"/>
      <c r="F144" s="14"/>
      <c r="G144" s="14"/>
    </row>
    <row r="145" ht="15.75" customHeight="1">
      <c r="B145" s="14"/>
      <c r="C145" s="14"/>
      <c r="D145" s="14"/>
      <c r="E145" s="14"/>
      <c r="F145" s="14"/>
      <c r="G145" s="14"/>
    </row>
    <row r="146" ht="15.75" customHeight="1">
      <c r="B146" s="14"/>
      <c r="C146" s="14"/>
      <c r="D146" s="14"/>
      <c r="E146" s="14"/>
      <c r="F146" s="14"/>
      <c r="G146" s="14"/>
    </row>
    <row r="147" ht="15.75" customHeight="1">
      <c r="B147" s="14"/>
      <c r="C147" s="14"/>
      <c r="D147" s="14"/>
      <c r="E147" s="14"/>
      <c r="F147" s="14"/>
      <c r="G147" s="14"/>
    </row>
    <row r="148" ht="15.75" customHeight="1">
      <c r="B148" s="14"/>
      <c r="C148" s="14"/>
      <c r="D148" s="14"/>
      <c r="E148" s="14"/>
      <c r="F148" s="14"/>
      <c r="G148" s="14"/>
    </row>
    <row r="149" ht="15.75" customHeight="1">
      <c r="B149" s="14"/>
      <c r="C149" s="14"/>
      <c r="D149" s="14"/>
      <c r="E149" s="14"/>
      <c r="F149" s="14"/>
      <c r="G149" s="14"/>
    </row>
    <row r="150" ht="15.75" customHeight="1">
      <c r="B150" s="14"/>
      <c r="C150" s="14"/>
      <c r="D150" s="14"/>
      <c r="E150" s="14"/>
      <c r="F150" s="14"/>
      <c r="G150" s="14"/>
    </row>
    <row r="151" ht="15.75" customHeight="1">
      <c r="B151" s="14"/>
      <c r="C151" s="14"/>
      <c r="D151" s="14"/>
      <c r="E151" s="14"/>
      <c r="F151" s="14"/>
      <c r="G151" s="14"/>
    </row>
    <row r="152" ht="15.75" customHeight="1">
      <c r="B152" s="14"/>
      <c r="C152" s="14"/>
      <c r="D152" s="14"/>
      <c r="E152" s="14"/>
      <c r="F152" s="14"/>
      <c r="G152" s="14"/>
    </row>
    <row r="153" ht="15.75" customHeight="1">
      <c r="B153" s="14"/>
      <c r="C153" s="14"/>
      <c r="D153" s="14"/>
      <c r="E153" s="14"/>
      <c r="F153" s="14"/>
      <c r="G153" s="14"/>
    </row>
    <row r="154" ht="15.75" customHeight="1">
      <c r="B154" s="14"/>
      <c r="C154" s="14"/>
      <c r="D154" s="14"/>
      <c r="E154" s="14"/>
      <c r="F154" s="14"/>
      <c r="G154" s="14"/>
    </row>
    <row r="155" ht="15.75" customHeight="1">
      <c r="B155" s="14"/>
      <c r="C155" s="14"/>
      <c r="D155" s="14"/>
      <c r="E155" s="14"/>
      <c r="F155" s="14"/>
      <c r="G155" s="14"/>
    </row>
    <row r="156" ht="15.75" customHeight="1">
      <c r="B156" s="14"/>
      <c r="C156" s="14"/>
      <c r="D156" s="14"/>
      <c r="E156" s="14"/>
      <c r="F156" s="14"/>
      <c r="G156" s="14"/>
    </row>
    <row r="157" ht="15.75" customHeight="1">
      <c r="B157" s="14"/>
      <c r="C157" s="14"/>
      <c r="D157" s="14"/>
      <c r="E157" s="14"/>
      <c r="F157" s="14"/>
      <c r="G157" s="14"/>
    </row>
    <row r="158" ht="15.75" customHeight="1">
      <c r="B158" s="14"/>
      <c r="C158" s="14"/>
      <c r="D158" s="14"/>
      <c r="E158" s="14"/>
      <c r="F158" s="14"/>
      <c r="G158" s="14"/>
    </row>
    <row r="159" ht="15.75" customHeight="1">
      <c r="B159" s="14"/>
      <c r="C159" s="14"/>
      <c r="D159" s="14"/>
      <c r="E159" s="14"/>
      <c r="F159" s="14"/>
      <c r="G159" s="14"/>
    </row>
    <row r="160" ht="15.75" customHeight="1">
      <c r="B160" s="14"/>
      <c r="C160" s="14"/>
      <c r="D160" s="14"/>
      <c r="E160" s="14"/>
      <c r="F160" s="14"/>
      <c r="G160" s="14"/>
    </row>
    <row r="161" ht="15.75" customHeight="1">
      <c r="B161" s="14"/>
      <c r="C161" s="14"/>
      <c r="D161" s="14"/>
      <c r="E161" s="14"/>
      <c r="F161" s="14"/>
      <c r="G161" s="14"/>
    </row>
    <row r="162" ht="15.75" customHeight="1">
      <c r="B162" s="14"/>
      <c r="C162" s="14"/>
      <c r="D162" s="14"/>
      <c r="E162" s="14"/>
      <c r="F162" s="14"/>
      <c r="G162" s="14"/>
    </row>
    <row r="163" ht="15.75" customHeight="1">
      <c r="B163" s="14"/>
      <c r="C163" s="14"/>
      <c r="D163" s="14"/>
      <c r="E163" s="14"/>
      <c r="F163" s="14"/>
      <c r="G163" s="14"/>
    </row>
    <row r="164" ht="15.75" customHeight="1">
      <c r="B164" s="14"/>
      <c r="C164" s="14"/>
      <c r="D164" s="14"/>
      <c r="E164" s="14"/>
      <c r="F164" s="14"/>
      <c r="G164" s="14"/>
    </row>
    <row r="165" ht="15.75" customHeight="1">
      <c r="B165" s="14"/>
      <c r="C165" s="14"/>
      <c r="D165" s="14"/>
      <c r="E165" s="14"/>
      <c r="F165" s="14"/>
      <c r="G165" s="14"/>
    </row>
    <row r="166" ht="15.75" customHeight="1">
      <c r="B166" s="14"/>
      <c r="C166" s="14"/>
      <c r="D166" s="14"/>
      <c r="E166" s="14"/>
      <c r="F166" s="14"/>
      <c r="G166" s="14"/>
    </row>
    <row r="167" ht="15.75" customHeight="1">
      <c r="B167" s="14"/>
      <c r="C167" s="14"/>
      <c r="D167" s="14"/>
      <c r="E167" s="14"/>
      <c r="F167" s="14"/>
      <c r="G167" s="14"/>
    </row>
    <row r="168" ht="15.75" customHeight="1">
      <c r="B168" s="14"/>
      <c r="C168" s="14"/>
      <c r="D168" s="14"/>
      <c r="E168" s="14"/>
      <c r="F168" s="14"/>
      <c r="G168" s="14"/>
    </row>
    <row r="169" ht="15.75" customHeight="1">
      <c r="B169" s="14"/>
      <c r="C169" s="14"/>
      <c r="D169" s="14"/>
      <c r="E169" s="14"/>
      <c r="F169" s="14"/>
      <c r="G169" s="14"/>
    </row>
    <row r="170" ht="15.75" customHeight="1">
      <c r="B170" s="14"/>
      <c r="C170" s="14"/>
      <c r="D170" s="14"/>
      <c r="E170" s="14"/>
      <c r="F170" s="14"/>
      <c r="G170" s="14"/>
    </row>
    <row r="171" ht="15.75" customHeight="1">
      <c r="B171" s="14"/>
      <c r="C171" s="14"/>
      <c r="D171" s="14"/>
      <c r="E171" s="14"/>
      <c r="F171" s="14"/>
      <c r="G171" s="14"/>
    </row>
    <row r="172" ht="15.75" customHeight="1">
      <c r="B172" s="14"/>
      <c r="C172" s="14"/>
      <c r="D172" s="14"/>
      <c r="E172" s="14"/>
      <c r="F172" s="14"/>
      <c r="G172" s="14"/>
    </row>
    <row r="173" ht="15.75" customHeight="1">
      <c r="B173" s="14"/>
      <c r="C173" s="14"/>
      <c r="D173" s="14"/>
      <c r="E173" s="14"/>
      <c r="F173" s="14"/>
      <c r="G173" s="14"/>
    </row>
    <row r="174" ht="15.75" customHeight="1">
      <c r="B174" s="14"/>
      <c r="C174" s="14"/>
      <c r="D174" s="14"/>
      <c r="E174" s="14"/>
      <c r="F174" s="14"/>
      <c r="G174" s="14"/>
    </row>
    <row r="175" ht="15.75" customHeight="1">
      <c r="B175" s="14"/>
      <c r="C175" s="14"/>
      <c r="D175" s="14"/>
      <c r="E175" s="14"/>
      <c r="F175" s="14"/>
      <c r="G175" s="14"/>
    </row>
    <row r="176" ht="15.75" customHeight="1">
      <c r="B176" s="14"/>
      <c r="C176" s="14"/>
      <c r="D176" s="14"/>
      <c r="E176" s="14"/>
      <c r="F176" s="14"/>
      <c r="G176" s="14"/>
    </row>
    <row r="177" ht="15.75" customHeight="1">
      <c r="B177" s="14"/>
      <c r="C177" s="14"/>
      <c r="D177" s="14"/>
      <c r="E177" s="14"/>
      <c r="F177" s="14"/>
      <c r="G177" s="14"/>
    </row>
    <row r="178" ht="15.75" customHeight="1">
      <c r="B178" s="14"/>
      <c r="C178" s="14"/>
      <c r="D178" s="14"/>
      <c r="E178" s="14"/>
      <c r="F178" s="14"/>
      <c r="G178" s="14"/>
    </row>
    <row r="179" ht="15.75" customHeight="1">
      <c r="B179" s="14"/>
      <c r="C179" s="14"/>
      <c r="D179" s="14"/>
      <c r="E179" s="14"/>
      <c r="F179" s="14"/>
      <c r="G179" s="14"/>
    </row>
    <row r="180" ht="15.75" customHeight="1">
      <c r="B180" s="14"/>
      <c r="C180" s="14"/>
      <c r="D180" s="14"/>
      <c r="E180" s="14"/>
      <c r="F180" s="14"/>
      <c r="G180" s="14"/>
    </row>
    <row r="181" ht="15.75" customHeight="1">
      <c r="B181" s="14"/>
      <c r="C181" s="14"/>
      <c r="D181" s="14"/>
      <c r="E181" s="14"/>
      <c r="F181" s="14"/>
      <c r="G181" s="14"/>
    </row>
    <row r="182" ht="15.75" customHeight="1">
      <c r="B182" s="14"/>
      <c r="C182" s="14"/>
      <c r="D182" s="14"/>
      <c r="E182" s="14"/>
      <c r="F182" s="14"/>
      <c r="G182" s="14"/>
    </row>
    <row r="183" ht="15.75" customHeight="1">
      <c r="B183" s="14"/>
      <c r="C183" s="14"/>
      <c r="D183" s="14"/>
      <c r="E183" s="14"/>
      <c r="F183" s="14"/>
      <c r="G183" s="14"/>
    </row>
    <row r="184" ht="15.75" customHeight="1">
      <c r="B184" s="14"/>
      <c r="C184" s="14"/>
      <c r="D184" s="14"/>
      <c r="E184" s="14"/>
      <c r="F184" s="14"/>
      <c r="G184" s="14"/>
    </row>
    <row r="185" ht="15.75" customHeight="1">
      <c r="B185" s="14"/>
      <c r="C185" s="14"/>
      <c r="D185" s="14"/>
      <c r="E185" s="14"/>
      <c r="F185" s="14"/>
      <c r="G185" s="14"/>
    </row>
    <row r="186" ht="15.75" customHeight="1">
      <c r="B186" s="14"/>
      <c r="C186" s="14"/>
      <c r="D186" s="14"/>
      <c r="E186" s="14"/>
      <c r="F186" s="14"/>
      <c r="G186" s="14"/>
    </row>
    <row r="187" ht="15.75" customHeight="1">
      <c r="B187" s="14"/>
      <c r="C187" s="14"/>
      <c r="D187" s="14"/>
      <c r="E187" s="14"/>
      <c r="F187" s="14"/>
      <c r="G187" s="14"/>
    </row>
    <row r="188" ht="15.75" customHeight="1">
      <c r="B188" s="14"/>
      <c r="C188" s="14"/>
      <c r="D188" s="14"/>
      <c r="E188" s="14"/>
      <c r="F188" s="14"/>
      <c r="G188" s="14"/>
    </row>
    <row r="189" ht="15.75" customHeight="1">
      <c r="B189" s="14"/>
      <c r="C189" s="14"/>
      <c r="D189" s="14"/>
      <c r="E189" s="14"/>
      <c r="F189" s="14"/>
      <c r="G189" s="14"/>
    </row>
    <row r="190" ht="15.75" customHeight="1">
      <c r="B190" s="14"/>
      <c r="C190" s="14"/>
      <c r="D190" s="14"/>
      <c r="E190" s="14"/>
      <c r="F190" s="14"/>
      <c r="G190" s="14"/>
    </row>
    <row r="191" ht="15.75" customHeight="1">
      <c r="B191" s="14"/>
      <c r="C191" s="14"/>
      <c r="D191" s="14"/>
      <c r="E191" s="14"/>
      <c r="F191" s="14"/>
      <c r="G191" s="14"/>
    </row>
    <row r="192" ht="15.75" customHeight="1">
      <c r="B192" s="14"/>
      <c r="C192" s="14"/>
      <c r="D192" s="14"/>
      <c r="E192" s="14"/>
      <c r="F192" s="14"/>
      <c r="G192" s="14"/>
    </row>
    <row r="193" ht="15.75" customHeight="1">
      <c r="B193" s="14"/>
      <c r="C193" s="14"/>
      <c r="D193" s="14"/>
      <c r="E193" s="14"/>
      <c r="F193" s="14"/>
      <c r="G193" s="14"/>
    </row>
    <row r="194" ht="15.75" customHeight="1">
      <c r="B194" s="14"/>
      <c r="C194" s="14"/>
      <c r="D194" s="14"/>
      <c r="E194" s="14"/>
      <c r="F194" s="14"/>
      <c r="G194" s="14"/>
    </row>
    <row r="195" ht="15.75" customHeight="1">
      <c r="B195" s="14"/>
      <c r="C195" s="14"/>
      <c r="D195" s="14"/>
      <c r="E195" s="14"/>
      <c r="F195" s="14"/>
      <c r="G195" s="14"/>
    </row>
    <row r="196" ht="15.75" customHeight="1">
      <c r="B196" s="14"/>
      <c r="C196" s="14"/>
      <c r="D196" s="14"/>
      <c r="E196" s="14"/>
      <c r="F196" s="14"/>
      <c r="G196" s="14"/>
    </row>
    <row r="197" ht="15.75" customHeight="1">
      <c r="B197" s="14"/>
      <c r="C197" s="14"/>
      <c r="D197" s="14"/>
      <c r="E197" s="14"/>
      <c r="F197" s="14"/>
      <c r="G197" s="14"/>
    </row>
    <row r="198" ht="15.75" customHeight="1">
      <c r="B198" s="14"/>
      <c r="C198" s="14"/>
      <c r="D198" s="14"/>
      <c r="E198" s="14"/>
      <c r="F198" s="14"/>
      <c r="G198" s="14"/>
    </row>
    <row r="199" ht="15.75" customHeight="1">
      <c r="B199" s="14"/>
      <c r="C199" s="14"/>
      <c r="D199" s="14"/>
      <c r="E199" s="14"/>
      <c r="F199" s="14"/>
      <c r="G199" s="14"/>
    </row>
    <row r="200" ht="15.75" customHeight="1">
      <c r="B200" s="14"/>
      <c r="C200" s="14"/>
      <c r="D200" s="14"/>
      <c r="E200" s="14"/>
      <c r="F200" s="14"/>
      <c r="G200" s="14"/>
    </row>
    <row r="201" ht="15.75" customHeight="1">
      <c r="B201" s="14"/>
      <c r="C201" s="14"/>
      <c r="D201" s="14"/>
      <c r="E201" s="14"/>
      <c r="F201" s="14"/>
      <c r="G201" s="14"/>
    </row>
    <row r="202" ht="15.75" customHeight="1">
      <c r="B202" s="14"/>
      <c r="C202" s="14"/>
      <c r="D202" s="14"/>
      <c r="E202" s="14"/>
      <c r="F202" s="14"/>
      <c r="G202" s="14"/>
    </row>
    <row r="203" ht="15.75" customHeight="1">
      <c r="B203" s="14"/>
      <c r="C203" s="14"/>
      <c r="D203" s="14"/>
      <c r="E203" s="14"/>
      <c r="F203" s="14"/>
      <c r="G203" s="14"/>
    </row>
    <row r="204" ht="15.75" customHeight="1">
      <c r="B204" s="14"/>
      <c r="C204" s="14"/>
      <c r="D204" s="14"/>
      <c r="E204" s="14"/>
      <c r="F204" s="14"/>
      <c r="G204" s="14"/>
    </row>
    <row r="205" ht="15.75" customHeight="1">
      <c r="B205" s="14"/>
      <c r="C205" s="14"/>
      <c r="D205" s="14"/>
      <c r="E205" s="14"/>
      <c r="F205" s="14"/>
      <c r="G205" s="14"/>
    </row>
    <row r="206" ht="15.75" customHeight="1">
      <c r="B206" s="14"/>
      <c r="C206" s="14"/>
      <c r="D206" s="14"/>
      <c r="E206" s="14"/>
      <c r="F206" s="14"/>
      <c r="G206" s="14"/>
    </row>
    <row r="207" ht="15.75" customHeight="1">
      <c r="B207" s="14"/>
      <c r="C207" s="14"/>
      <c r="D207" s="14"/>
      <c r="E207" s="14"/>
      <c r="F207" s="14"/>
      <c r="G207" s="14"/>
    </row>
    <row r="208" ht="15.75" customHeight="1">
      <c r="B208" s="14"/>
      <c r="C208" s="14"/>
      <c r="D208" s="14"/>
      <c r="E208" s="14"/>
      <c r="F208" s="14"/>
      <c r="G208" s="14"/>
    </row>
    <row r="209" ht="15.75" customHeight="1">
      <c r="B209" s="14"/>
      <c r="C209" s="14"/>
      <c r="D209" s="14"/>
      <c r="E209" s="14"/>
      <c r="F209" s="14"/>
      <c r="G209" s="14"/>
    </row>
    <row r="210" ht="15.75" customHeight="1">
      <c r="B210" s="14"/>
      <c r="C210" s="14"/>
      <c r="D210" s="14"/>
      <c r="E210" s="14"/>
      <c r="F210" s="14"/>
      <c r="G210" s="14"/>
    </row>
    <row r="211" ht="15.75" customHeight="1">
      <c r="B211" s="14"/>
      <c r="C211" s="14"/>
      <c r="D211" s="14"/>
      <c r="E211" s="14"/>
      <c r="F211" s="14"/>
      <c r="G211" s="14"/>
    </row>
    <row r="212" ht="15.75" customHeight="1">
      <c r="B212" s="14"/>
      <c r="C212" s="14"/>
      <c r="D212" s="14"/>
      <c r="E212" s="14"/>
      <c r="F212" s="14"/>
      <c r="G212" s="14"/>
    </row>
    <row r="213" ht="15.75" customHeight="1">
      <c r="B213" s="14"/>
      <c r="C213" s="14"/>
      <c r="D213" s="14"/>
      <c r="E213" s="14"/>
      <c r="F213" s="14"/>
      <c r="G213" s="14"/>
    </row>
    <row r="214" ht="15.75" customHeight="1">
      <c r="B214" s="14"/>
      <c r="C214" s="14"/>
      <c r="D214" s="14"/>
      <c r="E214" s="14"/>
      <c r="F214" s="14"/>
      <c r="G214" s="14"/>
    </row>
    <row r="215" ht="15.75" customHeight="1">
      <c r="B215" s="14"/>
      <c r="C215" s="14"/>
      <c r="D215" s="14"/>
      <c r="E215" s="14"/>
      <c r="F215" s="14"/>
      <c r="G215" s="14"/>
    </row>
    <row r="216" ht="15.75" customHeight="1">
      <c r="B216" s="14"/>
      <c r="C216" s="14"/>
      <c r="D216" s="14"/>
      <c r="E216" s="14"/>
      <c r="F216" s="14"/>
      <c r="G216" s="14"/>
    </row>
    <row r="217" ht="15.75" customHeight="1">
      <c r="B217" s="14"/>
      <c r="C217" s="14"/>
      <c r="D217" s="14"/>
      <c r="E217" s="14"/>
      <c r="F217" s="14"/>
      <c r="G217" s="14"/>
    </row>
    <row r="218" ht="15.75" customHeight="1">
      <c r="B218" s="14"/>
      <c r="C218" s="14"/>
      <c r="D218" s="14"/>
      <c r="E218" s="14"/>
      <c r="F218" s="14"/>
      <c r="G218" s="14"/>
    </row>
    <row r="219" ht="15.75" customHeight="1">
      <c r="B219" s="14"/>
      <c r="C219" s="14"/>
      <c r="D219" s="14"/>
      <c r="E219" s="14"/>
      <c r="F219" s="14"/>
      <c r="G219" s="14"/>
    </row>
    <row r="220" ht="15.75" customHeight="1">
      <c r="B220" s="14"/>
      <c r="C220" s="14"/>
      <c r="D220" s="14"/>
      <c r="E220" s="14"/>
      <c r="F220" s="14"/>
      <c r="G220" s="14"/>
    </row>
    <row r="221" ht="15.75" customHeight="1">
      <c r="B221" s="14"/>
      <c r="C221" s="14"/>
      <c r="D221" s="14"/>
      <c r="E221" s="14"/>
      <c r="F221" s="14"/>
      <c r="G221" s="14"/>
    </row>
    <row r="222" ht="15.75" customHeight="1">
      <c r="B222" s="14"/>
      <c r="C222" s="14"/>
      <c r="D222" s="14"/>
      <c r="E222" s="14"/>
      <c r="F222" s="14"/>
      <c r="G222" s="14"/>
    </row>
    <row r="223" ht="15.75" customHeight="1">
      <c r="B223" s="14"/>
      <c r="C223" s="14"/>
      <c r="D223" s="14"/>
      <c r="E223" s="14"/>
      <c r="F223" s="14"/>
      <c r="G223" s="14"/>
    </row>
    <row r="224" ht="15.75" customHeight="1">
      <c r="B224" s="14"/>
      <c r="C224" s="14"/>
      <c r="D224" s="14"/>
      <c r="E224" s="14"/>
      <c r="F224" s="14"/>
      <c r="G224" s="14"/>
    </row>
    <row r="225" ht="15.75" customHeight="1">
      <c r="B225" s="14"/>
      <c r="C225" s="14"/>
      <c r="D225" s="14"/>
      <c r="E225" s="14"/>
      <c r="F225" s="14"/>
      <c r="G225" s="14"/>
    </row>
    <row r="226" ht="15.75" customHeight="1">
      <c r="B226" s="14"/>
      <c r="C226" s="14"/>
      <c r="D226" s="14"/>
      <c r="E226" s="14"/>
      <c r="F226" s="14"/>
      <c r="G226" s="14"/>
    </row>
    <row r="227" ht="15.75" customHeight="1">
      <c r="B227" s="14"/>
      <c r="C227" s="14"/>
      <c r="D227" s="14"/>
      <c r="E227" s="14"/>
      <c r="F227" s="14"/>
      <c r="G227" s="14"/>
    </row>
    <row r="228" ht="15.75" customHeight="1">
      <c r="B228" s="14"/>
      <c r="C228" s="14"/>
      <c r="D228" s="14"/>
      <c r="E228" s="14"/>
      <c r="F228" s="14"/>
      <c r="G228" s="14"/>
    </row>
    <row r="229" ht="15.75" customHeight="1">
      <c r="B229" s="14"/>
      <c r="C229" s="14"/>
      <c r="D229" s="14"/>
      <c r="E229" s="14"/>
      <c r="F229" s="14"/>
      <c r="G229" s="14"/>
    </row>
    <row r="230" ht="15.75" customHeight="1">
      <c r="B230" s="14"/>
      <c r="C230" s="14"/>
      <c r="D230" s="14"/>
      <c r="E230" s="14"/>
      <c r="F230" s="14"/>
      <c r="G230" s="14"/>
    </row>
    <row r="231" ht="15.75" customHeight="1">
      <c r="B231" s="14"/>
      <c r="C231" s="14"/>
      <c r="D231" s="14"/>
      <c r="E231" s="14"/>
      <c r="F231" s="14"/>
      <c r="G231" s="14"/>
    </row>
    <row r="232" ht="15.75" customHeight="1">
      <c r="B232" s="14"/>
      <c r="C232" s="14"/>
      <c r="D232" s="14"/>
      <c r="E232" s="14"/>
      <c r="F232" s="14"/>
      <c r="G232" s="14"/>
    </row>
    <row r="233" ht="15.75" customHeight="1">
      <c r="B233" s="14"/>
      <c r="C233" s="14"/>
      <c r="D233" s="14"/>
      <c r="E233" s="14"/>
      <c r="F233" s="14"/>
      <c r="G233" s="14"/>
    </row>
    <row r="234" ht="15.75" customHeight="1">
      <c r="B234" s="14"/>
      <c r="C234" s="14"/>
      <c r="D234" s="14"/>
      <c r="E234" s="14"/>
      <c r="F234" s="14"/>
      <c r="G234" s="14"/>
    </row>
    <row r="235" ht="15.75" customHeight="1">
      <c r="B235" s="14"/>
      <c r="C235" s="14"/>
      <c r="D235" s="14"/>
      <c r="E235" s="14"/>
      <c r="F235" s="14"/>
      <c r="G235" s="14"/>
    </row>
    <row r="236" ht="15.75" customHeight="1">
      <c r="B236" s="14"/>
      <c r="C236" s="14"/>
      <c r="D236" s="14"/>
      <c r="E236" s="14"/>
      <c r="F236" s="14"/>
      <c r="G236" s="14"/>
    </row>
    <row r="237" ht="15.75" customHeight="1">
      <c r="B237" s="14"/>
      <c r="C237" s="14"/>
      <c r="D237" s="14"/>
      <c r="E237" s="14"/>
      <c r="F237" s="14"/>
      <c r="G237" s="14"/>
    </row>
    <row r="238" ht="15.75" customHeight="1">
      <c r="B238" s="14"/>
      <c r="C238" s="14"/>
      <c r="D238" s="14"/>
      <c r="E238" s="14"/>
      <c r="F238" s="14"/>
      <c r="G238" s="14"/>
    </row>
    <row r="239" ht="15.75" customHeight="1">
      <c r="B239" s="14"/>
      <c r="C239" s="14"/>
      <c r="D239" s="14"/>
      <c r="E239" s="14"/>
      <c r="F239" s="14"/>
      <c r="G239" s="14"/>
    </row>
    <row r="240" ht="15.75" customHeight="1">
      <c r="B240" s="14"/>
      <c r="C240" s="14"/>
      <c r="D240" s="14"/>
      <c r="E240" s="14"/>
      <c r="F240" s="14"/>
      <c r="G240" s="14"/>
    </row>
    <row r="241" ht="15.75" customHeight="1">
      <c r="B241" s="14"/>
      <c r="C241" s="14"/>
      <c r="D241" s="14"/>
      <c r="E241" s="14"/>
      <c r="F241" s="14"/>
      <c r="G241" s="14"/>
    </row>
    <row r="242" ht="15.75" customHeight="1">
      <c r="B242" s="14"/>
      <c r="C242" s="14"/>
      <c r="D242" s="14"/>
      <c r="E242" s="14"/>
      <c r="F242" s="14"/>
      <c r="G242" s="14"/>
    </row>
    <row r="243" ht="15.75" customHeight="1">
      <c r="B243" s="14"/>
      <c r="C243" s="14"/>
      <c r="D243" s="14"/>
      <c r="E243" s="14"/>
      <c r="F243" s="14"/>
      <c r="G243" s="14"/>
    </row>
    <row r="244" ht="15.75" customHeight="1">
      <c r="B244" s="14"/>
      <c r="C244" s="14"/>
      <c r="D244" s="14"/>
      <c r="E244" s="14"/>
      <c r="F244" s="14"/>
      <c r="G244" s="14"/>
    </row>
    <row r="245" ht="15.75" customHeight="1">
      <c r="B245" s="14"/>
      <c r="C245" s="14"/>
      <c r="D245" s="14"/>
      <c r="E245" s="14"/>
      <c r="F245" s="14"/>
      <c r="G245" s="14"/>
    </row>
    <row r="246" ht="15.75" customHeight="1">
      <c r="B246" s="14"/>
      <c r="C246" s="14"/>
      <c r="D246" s="14"/>
      <c r="E246" s="14"/>
      <c r="F246" s="14"/>
      <c r="G246" s="14"/>
    </row>
    <row r="247" ht="15.75" customHeight="1">
      <c r="B247" s="14"/>
      <c r="C247" s="14"/>
      <c r="D247" s="14"/>
      <c r="E247" s="14"/>
      <c r="F247" s="14"/>
      <c r="G247" s="14"/>
    </row>
    <row r="248" ht="15.75" customHeight="1">
      <c r="B248" s="14"/>
      <c r="C248" s="14"/>
      <c r="D248" s="14"/>
      <c r="E248" s="14"/>
      <c r="F248" s="14"/>
      <c r="G248" s="14"/>
    </row>
    <row r="249" ht="15.75" customHeight="1">
      <c r="B249" s="14"/>
      <c r="C249" s="14"/>
      <c r="D249" s="14"/>
      <c r="E249" s="14"/>
      <c r="F249" s="14"/>
      <c r="G249" s="14"/>
    </row>
    <row r="250" ht="15.75" customHeight="1">
      <c r="B250" s="14"/>
      <c r="C250" s="14"/>
      <c r="D250" s="14"/>
      <c r="E250" s="14"/>
      <c r="F250" s="14"/>
      <c r="G250" s="14"/>
    </row>
    <row r="251" ht="15.75" customHeight="1">
      <c r="B251" s="14"/>
      <c r="C251" s="14"/>
      <c r="D251" s="14"/>
      <c r="E251" s="14"/>
      <c r="F251" s="14"/>
      <c r="G251" s="14"/>
    </row>
    <row r="252" ht="15.75" customHeight="1">
      <c r="B252" s="14"/>
      <c r="C252" s="14"/>
      <c r="D252" s="14"/>
      <c r="E252" s="14"/>
      <c r="F252" s="14"/>
      <c r="G252" s="14"/>
    </row>
    <row r="253" ht="15.75" customHeight="1">
      <c r="B253" s="14"/>
      <c r="C253" s="14"/>
      <c r="D253" s="14"/>
      <c r="E253" s="14"/>
      <c r="F253" s="14"/>
      <c r="G253" s="14"/>
    </row>
    <row r="254" ht="15.75" customHeight="1">
      <c r="B254" s="14"/>
      <c r="C254" s="14"/>
      <c r="D254" s="14"/>
      <c r="E254" s="14"/>
      <c r="F254" s="14"/>
      <c r="G254" s="14"/>
    </row>
    <row r="255" ht="15.75" customHeight="1">
      <c r="B255" s="14"/>
      <c r="C255" s="14"/>
      <c r="D255" s="14"/>
      <c r="E255" s="14"/>
      <c r="F255" s="14"/>
      <c r="G255" s="14"/>
    </row>
    <row r="256" ht="15.75" customHeight="1">
      <c r="B256" s="14"/>
      <c r="C256" s="14"/>
      <c r="D256" s="14"/>
      <c r="E256" s="14"/>
      <c r="F256" s="14"/>
      <c r="G256" s="14"/>
    </row>
    <row r="257" ht="15.75" customHeight="1">
      <c r="B257" s="14"/>
      <c r="C257" s="14"/>
      <c r="D257" s="14"/>
      <c r="E257" s="14"/>
      <c r="F257" s="14"/>
      <c r="G257" s="14"/>
    </row>
    <row r="258" ht="15.75" customHeight="1">
      <c r="B258" s="14"/>
      <c r="C258" s="14"/>
      <c r="D258" s="14"/>
      <c r="E258" s="14"/>
      <c r="F258" s="14"/>
      <c r="G258" s="14"/>
    </row>
    <row r="259" ht="15.75" customHeight="1">
      <c r="B259" s="14"/>
      <c r="C259" s="14"/>
      <c r="D259" s="14"/>
      <c r="E259" s="14"/>
      <c r="F259" s="14"/>
      <c r="G259" s="14"/>
    </row>
    <row r="260" ht="15.75" customHeight="1">
      <c r="B260" s="14"/>
      <c r="C260" s="14"/>
      <c r="D260" s="14"/>
      <c r="E260" s="14"/>
      <c r="F260" s="14"/>
      <c r="G260" s="14"/>
    </row>
    <row r="261" ht="15.75" customHeight="1">
      <c r="B261" s="14"/>
      <c r="C261" s="14"/>
      <c r="D261" s="14"/>
      <c r="E261" s="14"/>
      <c r="F261" s="14"/>
      <c r="G261" s="14"/>
    </row>
    <row r="262" ht="15.75" customHeight="1">
      <c r="B262" s="14"/>
      <c r="C262" s="14"/>
      <c r="D262" s="14"/>
      <c r="E262" s="14"/>
      <c r="F262" s="14"/>
      <c r="G262" s="14"/>
    </row>
    <row r="263" ht="15.75" customHeight="1">
      <c r="B263" s="14"/>
      <c r="C263" s="14"/>
      <c r="D263" s="14"/>
      <c r="E263" s="14"/>
      <c r="F263" s="14"/>
      <c r="G263" s="14"/>
    </row>
    <row r="264" ht="15.75" customHeight="1">
      <c r="B264" s="14"/>
      <c r="C264" s="14"/>
      <c r="D264" s="14"/>
      <c r="E264" s="14"/>
      <c r="F264" s="14"/>
      <c r="G264" s="14"/>
    </row>
    <row r="265" ht="15.75" customHeight="1">
      <c r="B265" s="14"/>
      <c r="C265" s="14"/>
      <c r="D265" s="14"/>
      <c r="E265" s="14"/>
      <c r="F265" s="14"/>
      <c r="G265" s="14"/>
    </row>
    <row r="266" ht="15.75" customHeight="1">
      <c r="B266" s="14"/>
      <c r="C266" s="14"/>
      <c r="D266" s="14"/>
      <c r="E266" s="14"/>
      <c r="F266" s="14"/>
      <c r="G266" s="14"/>
    </row>
    <row r="267" ht="15.75" customHeight="1">
      <c r="B267" s="14"/>
      <c r="C267" s="14"/>
      <c r="D267" s="14"/>
      <c r="E267" s="14"/>
      <c r="F267" s="14"/>
      <c r="G267" s="14"/>
    </row>
    <row r="268" ht="15.75" customHeight="1">
      <c r="B268" s="14"/>
      <c r="C268" s="14"/>
      <c r="D268" s="14"/>
      <c r="E268" s="14"/>
      <c r="F268" s="14"/>
      <c r="G268" s="14"/>
    </row>
    <row r="269" ht="15.75" customHeight="1">
      <c r="B269" s="14"/>
      <c r="C269" s="14"/>
      <c r="D269" s="14"/>
      <c r="E269" s="14"/>
      <c r="F269" s="14"/>
      <c r="G269" s="14"/>
    </row>
    <row r="270" ht="15.75" customHeight="1">
      <c r="B270" s="14"/>
      <c r="C270" s="14"/>
      <c r="D270" s="14"/>
      <c r="E270" s="14"/>
      <c r="F270" s="14"/>
      <c r="G270" s="14"/>
    </row>
    <row r="271" ht="15.75" customHeight="1">
      <c r="B271" s="14"/>
      <c r="C271" s="14"/>
      <c r="D271" s="14"/>
      <c r="E271" s="14"/>
      <c r="F271" s="14"/>
      <c r="G271" s="14"/>
    </row>
    <row r="272" ht="15.75" customHeight="1">
      <c r="B272" s="14"/>
      <c r="C272" s="14"/>
      <c r="D272" s="14"/>
      <c r="E272" s="14"/>
      <c r="F272" s="14"/>
      <c r="G272" s="14"/>
    </row>
    <row r="273" ht="15.75" customHeight="1">
      <c r="B273" s="14"/>
      <c r="C273" s="14"/>
      <c r="D273" s="14"/>
      <c r="E273" s="14"/>
      <c r="F273" s="14"/>
      <c r="G273" s="14"/>
    </row>
    <row r="274" ht="15.75" customHeight="1">
      <c r="B274" s="14"/>
      <c r="C274" s="14"/>
      <c r="D274" s="14"/>
      <c r="E274" s="14"/>
      <c r="F274" s="14"/>
      <c r="G274" s="14"/>
    </row>
    <row r="275" ht="15.75" customHeight="1">
      <c r="B275" s="14"/>
      <c r="C275" s="14"/>
      <c r="D275" s="14"/>
      <c r="E275" s="14"/>
      <c r="F275" s="14"/>
      <c r="G275" s="14"/>
    </row>
    <row r="276" ht="15.75" customHeight="1">
      <c r="B276" s="14"/>
      <c r="C276" s="14"/>
      <c r="D276" s="14"/>
      <c r="E276" s="14"/>
      <c r="F276" s="14"/>
      <c r="G276" s="14"/>
    </row>
    <row r="277" ht="15.75" customHeight="1">
      <c r="B277" s="14"/>
      <c r="C277" s="14"/>
      <c r="D277" s="14"/>
      <c r="E277" s="14"/>
      <c r="F277" s="14"/>
      <c r="G277" s="14"/>
    </row>
    <row r="278" ht="15.75" customHeight="1">
      <c r="B278" s="14"/>
      <c r="C278" s="14"/>
      <c r="D278" s="14"/>
      <c r="E278" s="14"/>
      <c r="F278" s="14"/>
      <c r="G278" s="14"/>
    </row>
    <row r="279" ht="15.75" customHeight="1">
      <c r="B279" s="14"/>
      <c r="C279" s="14"/>
      <c r="D279" s="14"/>
      <c r="E279" s="14"/>
      <c r="F279" s="14"/>
      <c r="G279" s="14"/>
    </row>
    <row r="280" ht="15.75" customHeight="1">
      <c r="B280" s="14"/>
      <c r="C280" s="14"/>
      <c r="D280" s="14"/>
      <c r="E280" s="14"/>
      <c r="F280" s="14"/>
      <c r="G280" s="14"/>
    </row>
    <row r="281" ht="15.75" customHeight="1">
      <c r="B281" s="14"/>
      <c r="C281" s="14"/>
      <c r="D281" s="14"/>
      <c r="E281" s="14"/>
      <c r="F281" s="14"/>
      <c r="G281" s="14"/>
    </row>
    <row r="282" ht="15.75" customHeight="1">
      <c r="B282" s="14"/>
      <c r="C282" s="14"/>
      <c r="D282" s="14"/>
      <c r="E282" s="14"/>
      <c r="F282" s="14"/>
      <c r="G282" s="14"/>
    </row>
    <row r="283" ht="15.75" customHeight="1">
      <c r="B283" s="14"/>
      <c r="C283" s="14"/>
      <c r="D283" s="14"/>
      <c r="E283" s="14"/>
      <c r="F283" s="14"/>
      <c r="G283" s="14"/>
    </row>
    <row r="284" ht="15.75" customHeight="1">
      <c r="B284" s="14"/>
      <c r="C284" s="14"/>
      <c r="D284" s="14"/>
      <c r="E284" s="14"/>
      <c r="F284" s="14"/>
      <c r="G284" s="14"/>
    </row>
    <row r="285" ht="15.75" customHeight="1">
      <c r="B285" s="14"/>
      <c r="C285" s="14"/>
      <c r="D285" s="14"/>
      <c r="E285" s="14"/>
      <c r="F285" s="14"/>
      <c r="G285" s="14"/>
    </row>
    <row r="286" ht="15.75" customHeight="1">
      <c r="B286" s="14"/>
      <c r="C286" s="14"/>
      <c r="D286" s="14"/>
      <c r="E286" s="14"/>
      <c r="F286" s="14"/>
      <c r="G286" s="14"/>
    </row>
    <row r="287" ht="15.75" customHeight="1">
      <c r="B287" s="14"/>
      <c r="C287" s="14"/>
      <c r="D287" s="14"/>
      <c r="E287" s="14"/>
      <c r="F287" s="14"/>
      <c r="G287" s="14"/>
    </row>
    <row r="288" ht="15.75" customHeight="1">
      <c r="B288" s="14"/>
      <c r="C288" s="14"/>
      <c r="D288" s="14"/>
      <c r="E288" s="14"/>
      <c r="F288" s="14"/>
      <c r="G288" s="14"/>
    </row>
    <row r="289" ht="15.75" customHeight="1">
      <c r="B289" s="14"/>
      <c r="C289" s="14"/>
      <c r="D289" s="14"/>
      <c r="E289" s="14"/>
      <c r="F289" s="14"/>
      <c r="G289" s="14"/>
    </row>
    <row r="290" ht="15.75" customHeight="1">
      <c r="B290" s="14"/>
      <c r="C290" s="14"/>
      <c r="D290" s="14"/>
      <c r="E290" s="14"/>
      <c r="F290" s="14"/>
      <c r="G290" s="14"/>
    </row>
    <row r="291" ht="15.75" customHeight="1">
      <c r="B291" s="14"/>
      <c r="C291" s="14"/>
      <c r="D291" s="14"/>
      <c r="E291" s="14"/>
      <c r="F291" s="14"/>
      <c r="G291" s="14"/>
    </row>
    <row r="292" ht="15.75" customHeight="1">
      <c r="B292" s="14"/>
      <c r="C292" s="14"/>
      <c r="D292" s="14"/>
      <c r="E292" s="14"/>
      <c r="F292" s="14"/>
      <c r="G292" s="14"/>
    </row>
    <row r="293" ht="15.75" customHeight="1">
      <c r="B293" s="14"/>
      <c r="C293" s="14"/>
      <c r="D293" s="14"/>
      <c r="E293" s="14"/>
      <c r="F293" s="14"/>
      <c r="G293" s="14"/>
    </row>
    <row r="294" ht="15.75" customHeight="1">
      <c r="B294" s="14"/>
      <c r="C294" s="14"/>
      <c r="D294" s="14"/>
      <c r="E294" s="14"/>
      <c r="F294" s="14"/>
      <c r="G294" s="14"/>
    </row>
    <row r="295" ht="15.75" customHeight="1">
      <c r="B295" s="14"/>
      <c r="C295" s="14"/>
      <c r="D295" s="14"/>
      <c r="E295" s="14"/>
      <c r="F295" s="14"/>
      <c r="G295" s="14"/>
    </row>
    <row r="296" ht="15.75" customHeight="1">
      <c r="B296" s="14"/>
      <c r="C296" s="14"/>
      <c r="D296" s="14"/>
      <c r="E296" s="14"/>
      <c r="F296" s="14"/>
      <c r="G296" s="14"/>
    </row>
    <row r="297" ht="15.75" customHeight="1">
      <c r="B297" s="14"/>
      <c r="C297" s="14"/>
      <c r="D297" s="14"/>
      <c r="E297" s="14"/>
      <c r="F297" s="14"/>
      <c r="G297" s="14"/>
    </row>
    <row r="298" ht="15.75" customHeight="1">
      <c r="B298" s="14"/>
      <c r="C298" s="14"/>
      <c r="D298" s="14"/>
      <c r="E298" s="14"/>
      <c r="F298" s="14"/>
      <c r="G298" s="14"/>
    </row>
    <row r="299" ht="15.75" customHeight="1">
      <c r="B299" s="14"/>
      <c r="C299" s="14"/>
      <c r="D299" s="14"/>
      <c r="E299" s="14"/>
      <c r="F299" s="14"/>
      <c r="G299" s="14"/>
    </row>
    <row r="300" ht="15.75" customHeight="1">
      <c r="B300" s="14"/>
      <c r="C300" s="14"/>
      <c r="D300" s="14"/>
      <c r="E300" s="14"/>
      <c r="F300" s="14"/>
      <c r="G300" s="14"/>
    </row>
    <row r="301" ht="15.75" customHeight="1">
      <c r="B301" s="14"/>
      <c r="C301" s="14"/>
      <c r="D301" s="14"/>
      <c r="E301" s="14"/>
      <c r="F301" s="14"/>
      <c r="G301" s="14"/>
    </row>
    <row r="302" ht="15.75" customHeight="1">
      <c r="B302" s="14"/>
      <c r="C302" s="14"/>
      <c r="D302" s="14"/>
      <c r="E302" s="14"/>
      <c r="F302" s="14"/>
      <c r="G302" s="14"/>
    </row>
    <row r="303" ht="15.75" customHeight="1">
      <c r="B303" s="14"/>
      <c r="C303" s="14"/>
      <c r="D303" s="14"/>
      <c r="E303" s="14"/>
      <c r="F303" s="14"/>
      <c r="G303" s="14"/>
    </row>
    <row r="304" ht="15.75" customHeight="1">
      <c r="B304" s="14"/>
      <c r="C304" s="14"/>
      <c r="D304" s="14"/>
      <c r="E304" s="14"/>
      <c r="F304" s="14"/>
      <c r="G304" s="14"/>
    </row>
    <row r="305" ht="15.75" customHeight="1">
      <c r="B305" s="14"/>
      <c r="C305" s="14"/>
      <c r="D305" s="14"/>
      <c r="E305" s="14"/>
      <c r="F305" s="14"/>
      <c r="G305" s="14"/>
    </row>
    <row r="306" ht="15.75" customHeight="1">
      <c r="B306" s="14"/>
      <c r="C306" s="14"/>
      <c r="D306" s="14"/>
      <c r="E306" s="14"/>
      <c r="F306" s="14"/>
      <c r="G306" s="14"/>
    </row>
    <row r="307" ht="15.75" customHeight="1">
      <c r="B307" s="14"/>
      <c r="C307" s="14"/>
      <c r="D307" s="14"/>
      <c r="E307" s="14"/>
      <c r="F307" s="14"/>
      <c r="G307" s="14"/>
    </row>
    <row r="308" ht="15.75" customHeight="1">
      <c r="B308" s="14"/>
      <c r="C308" s="14"/>
      <c r="D308" s="14"/>
      <c r="E308" s="14"/>
      <c r="F308" s="14"/>
      <c r="G308" s="14"/>
    </row>
    <row r="309" ht="15.75" customHeight="1">
      <c r="B309" s="14"/>
      <c r="C309" s="14"/>
      <c r="D309" s="14"/>
      <c r="E309" s="14"/>
      <c r="F309" s="14"/>
      <c r="G309" s="14"/>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42.88"/>
  </cols>
  <sheetData>
    <row r="1" ht="15.75" customHeight="1">
      <c r="A1" s="1" t="s">
        <v>162</v>
      </c>
      <c r="B1" s="13">
        <f>'Assumptions and Control Panel'!K2</f>
        <v>0.000000001862645149</v>
      </c>
      <c r="C1" s="14"/>
      <c r="D1" s="14"/>
      <c r="E1" s="14"/>
      <c r="F1" s="14"/>
      <c r="G1" s="14"/>
      <c r="H1" s="1" t="s">
        <v>163</v>
      </c>
    </row>
    <row r="2" ht="15.75" customHeight="1">
      <c r="A2" s="1" t="s">
        <v>264</v>
      </c>
      <c r="B2" s="64">
        <v>2019.0</v>
      </c>
      <c r="C2" s="64">
        <v>2020.0</v>
      </c>
      <c r="D2" s="72">
        <v>2021.0</v>
      </c>
      <c r="E2" s="72">
        <v>2022.0</v>
      </c>
      <c r="F2" s="72">
        <v>2023.0</v>
      </c>
      <c r="G2" s="72">
        <v>2024.0</v>
      </c>
      <c r="H2" s="1">
        <v>2025.0</v>
      </c>
      <c r="I2" s="1">
        <v>2026.0</v>
      </c>
      <c r="J2" s="1">
        <v>2027.0</v>
      </c>
      <c r="K2" s="1">
        <v>2028.0</v>
      </c>
      <c r="L2" s="1">
        <v>2029.0</v>
      </c>
      <c r="M2" s="1">
        <v>2030.0</v>
      </c>
      <c r="N2" s="1">
        <v>2031.0</v>
      </c>
      <c r="O2" s="1">
        <v>2032.0</v>
      </c>
      <c r="P2" s="1">
        <v>2033.0</v>
      </c>
      <c r="Q2" s="1">
        <v>2034.0</v>
      </c>
    </row>
    <row r="3" ht="15.75" customHeight="1">
      <c r="A3" s="1" t="s">
        <v>265</v>
      </c>
      <c r="B3" s="13" t="s">
        <v>266</v>
      </c>
      <c r="C3" s="13">
        <v>1.0</v>
      </c>
      <c r="D3" s="21"/>
      <c r="E3" s="21"/>
      <c r="F3" s="21"/>
      <c r="G3" s="21"/>
      <c r="H3" s="14"/>
      <c r="I3" s="14"/>
      <c r="J3" s="14"/>
      <c r="K3" s="14"/>
      <c r="L3" s="14"/>
    </row>
    <row r="4" ht="15.75" customHeight="1">
      <c r="A4" s="3" t="s">
        <v>267</v>
      </c>
      <c r="B4" s="22">
        <v>-140077.0</v>
      </c>
      <c r="C4" s="22">
        <v>-141779.0</v>
      </c>
      <c r="D4" s="23">
        <v>-92629.0</v>
      </c>
      <c r="E4" s="23">
        <v>-232378.0</v>
      </c>
      <c r="F4" s="23">
        <v>-182285.0</v>
      </c>
      <c r="G4" s="23">
        <v>90585.0</v>
      </c>
      <c r="H4" s="57">
        <f>'Income Statement'!H29</f>
        <v>255439.6893</v>
      </c>
      <c r="I4" s="57">
        <f>'Income Statement'!I29</f>
        <v>471452.6665</v>
      </c>
      <c r="J4" s="57">
        <f>'Income Statement'!J29</f>
        <v>834396.003</v>
      </c>
      <c r="K4" s="57">
        <f>'Income Statement'!K29</f>
        <v>1252783.041</v>
      </c>
      <c r="L4" s="57">
        <f>'Income Statement'!L29</f>
        <v>1681466.455</v>
      </c>
    </row>
    <row r="5" ht="15.75" customHeight="1">
      <c r="B5" s="14"/>
      <c r="C5" s="14"/>
      <c r="D5" s="14"/>
      <c r="E5" s="14"/>
      <c r="F5" s="14"/>
      <c r="G5" s="14"/>
      <c r="H5" s="14"/>
      <c r="I5" s="14"/>
      <c r="J5" s="14"/>
      <c r="K5" s="14"/>
      <c r="L5" s="14"/>
    </row>
    <row r="6" ht="15.75" customHeight="1">
      <c r="A6" s="1" t="s">
        <v>268</v>
      </c>
      <c r="B6" s="14"/>
      <c r="C6" s="14"/>
      <c r="D6" s="21"/>
      <c r="E6" s="21"/>
      <c r="F6" s="21"/>
      <c r="G6" s="21"/>
      <c r="H6" s="14"/>
      <c r="I6" s="14"/>
      <c r="J6" s="14"/>
      <c r="K6" s="14"/>
      <c r="L6" s="14"/>
    </row>
    <row r="7" ht="15.75" customHeight="1">
      <c r="A7" s="73" t="s">
        <v>269</v>
      </c>
      <c r="B7" s="22">
        <v>14815.0</v>
      </c>
      <c r="C7" s="22">
        <v>23026.0</v>
      </c>
      <c r="D7" s="23">
        <v>38710.0</v>
      </c>
      <c r="E7" s="23">
        <v>55908.0</v>
      </c>
      <c r="F7" s="23">
        <v>77245.0</v>
      </c>
      <c r="G7" s="23">
        <v>126838.0</v>
      </c>
      <c r="H7" s="14">
        <f t="shared" ref="H7:L7" si="1">H92</f>
        <v>222805.3432</v>
      </c>
      <c r="I7" s="14">
        <f t="shared" si="1"/>
        <v>347513.2503</v>
      </c>
      <c r="J7" s="14">
        <f t="shared" si="1"/>
        <v>510764.2455</v>
      </c>
      <c r="K7" s="14">
        <f t="shared" si="1"/>
        <v>715825.3441</v>
      </c>
      <c r="L7" s="14">
        <f t="shared" si="1"/>
        <v>966447.8019</v>
      </c>
    </row>
    <row r="8" ht="15.75" customHeight="1">
      <c r="A8" s="3" t="s">
        <v>270</v>
      </c>
      <c r="B8" s="22">
        <v>191.0</v>
      </c>
      <c r="C8" s="22">
        <v>0.0</v>
      </c>
      <c r="D8" s="22">
        <v>0.0</v>
      </c>
      <c r="E8" s="22">
        <v>0.0</v>
      </c>
      <c r="F8" s="22">
        <v>0.0</v>
      </c>
      <c r="G8" s="22">
        <v>0.0</v>
      </c>
      <c r="H8" s="22">
        <f t="shared" ref="H8:L8" si="2">G8</f>
        <v>0</v>
      </c>
      <c r="I8" s="22">
        <f t="shared" si="2"/>
        <v>0</v>
      </c>
      <c r="J8" s="22">
        <f t="shared" si="2"/>
        <v>0</v>
      </c>
      <c r="K8" s="22">
        <f t="shared" si="2"/>
        <v>0</v>
      </c>
      <c r="L8" s="22">
        <f t="shared" si="2"/>
        <v>0</v>
      </c>
    </row>
    <row r="9" ht="15.75" customHeight="1">
      <c r="A9" s="73" t="s">
        <v>271</v>
      </c>
      <c r="B9" s="22">
        <v>583.0</v>
      </c>
      <c r="C9" s="22">
        <v>487.0</v>
      </c>
      <c r="D9" s="23">
        <v>1448.0</v>
      </c>
      <c r="E9" s="23">
        <v>12902.0</v>
      </c>
      <c r="F9" s="23">
        <v>16565.0</v>
      </c>
      <c r="G9" s="23">
        <v>18416.0</v>
      </c>
      <c r="H9" s="14">
        <f t="shared" ref="H9:L9" si="3">H112</f>
        <v>18773.0679</v>
      </c>
      <c r="I9" s="14">
        <f t="shared" si="3"/>
        <v>19237.07147</v>
      </c>
      <c r="J9" s="14">
        <f t="shared" si="3"/>
        <v>19844.4832</v>
      </c>
      <c r="K9" s="14">
        <f t="shared" si="3"/>
        <v>20607.45874</v>
      </c>
      <c r="L9" s="14">
        <f t="shared" si="3"/>
        <v>21539.95547</v>
      </c>
    </row>
    <row r="10" ht="15.75" customHeight="1">
      <c r="A10" s="73" t="s">
        <v>272</v>
      </c>
      <c r="B10" s="22">
        <v>28642.0</v>
      </c>
      <c r="C10" s="22">
        <v>35459.0</v>
      </c>
      <c r="D10" s="23">
        <v>66425.0</v>
      </c>
      <c r="E10" s="23">
        <v>113884.0</v>
      </c>
      <c r="F10" s="23">
        <v>170808.0</v>
      </c>
      <c r="G10" s="23">
        <v>238901.0</v>
      </c>
      <c r="H10" s="14">
        <f t="shared" ref="H10:L10" si="4">H132</f>
        <v>415823.9467</v>
      </c>
      <c r="I10" s="14">
        <f t="shared" si="4"/>
        <v>645732.264</v>
      </c>
      <c r="J10" s="14">
        <f t="shared" si="4"/>
        <v>946697.6356</v>
      </c>
      <c r="K10" s="14">
        <f t="shared" si="4"/>
        <v>1324743.048</v>
      </c>
      <c r="L10" s="14">
        <f t="shared" si="4"/>
        <v>1786784.22</v>
      </c>
    </row>
    <row r="11" ht="15.75" hidden="1" customHeight="1">
      <c r="A11" s="68" t="s">
        <v>273</v>
      </c>
      <c r="B11" s="22">
        <v>0.0</v>
      </c>
      <c r="C11" s="22">
        <v>0.0</v>
      </c>
      <c r="D11" s="23">
        <v>7786.0</v>
      </c>
      <c r="E11" s="23">
        <v>9103.0</v>
      </c>
      <c r="F11" s="23">
        <v>9440.0</v>
      </c>
      <c r="G11" s="23">
        <v>13398.0</v>
      </c>
      <c r="H11" s="22">
        <f t="shared" ref="H11:L11" si="5">0</f>
        <v>0</v>
      </c>
      <c r="I11" s="22">
        <f t="shared" si="5"/>
        <v>0</v>
      </c>
      <c r="J11" s="22">
        <f t="shared" si="5"/>
        <v>0</v>
      </c>
      <c r="K11" s="22">
        <f t="shared" si="5"/>
        <v>0</v>
      </c>
      <c r="L11" s="22">
        <f t="shared" si="5"/>
        <v>0</v>
      </c>
    </row>
    <row r="12" ht="15.75" hidden="1" customHeight="1">
      <c r="A12" s="3" t="s">
        <v>274</v>
      </c>
      <c r="B12" s="22">
        <v>3576.0</v>
      </c>
      <c r="C12" s="22">
        <v>6022.0</v>
      </c>
      <c r="D12" s="23">
        <v>0.0</v>
      </c>
      <c r="E12" s="23">
        <v>0.0</v>
      </c>
      <c r="F12" s="22">
        <v>0.0</v>
      </c>
      <c r="G12" s="22">
        <v>0.0</v>
      </c>
      <c r="H12" s="22">
        <f t="shared" ref="H12:L12" si="6">0</f>
        <v>0</v>
      </c>
      <c r="I12" s="22">
        <f t="shared" si="6"/>
        <v>0</v>
      </c>
      <c r="J12" s="22">
        <f t="shared" si="6"/>
        <v>0</v>
      </c>
      <c r="K12" s="22">
        <f t="shared" si="6"/>
        <v>0</v>
      </c>
      <c r="L12" s="22">
        <f t="shared" si="6"/>
        <v>0</v>
      </c>
    </row>
    <row r="13" ht="15.75" hidden="1" customHeight="1">
      <c r="A13" s="3" t="s">
        <v>275</v>
      </c>
      <c r="B13" s="22">
        <v>551.0</v>
      </c>
      <c r="C13" s="22">
        <v>556.0</v>
      </c>
      <c r="D13" s="22">
        <v>0.0</v>
      </c>
      <c r="E13" s="22">
        <v>0.0</v>
      </c>
      <c r="F13" s="22">
        <v>0.0</v>
      </c>
      <c r="G13" s="22">
        <v>0.0</v>
      </c>
      <c r="H13" s="22">
        <f t="shared" ref="H13:L13" si="7">0</f>
        <v>0</v>
      </c>
      <c r="I13" s="22">
        <f t="shared" si="7"/>
        <v>0</v>
      </c>
      <c r="J13" s="22">
        <f t="shared" si="7"/>
        <v>0</v>
      </c>
      <c r="K13" s="22">
        <f t="shared" si="7"/>
        <v>0</v>
      </c>
      <c r="L13" s="22">
        <f t="shared" si="7"/>
        <v>0</v>
      </c>
    </row>
    <row r="14" ht="15.75" hidden="1" customHeight="1">
      <c r="A14" s="3" t="s">
        <v>276</v>
      </c>
      <c r="B14" s="22">
        <v>20505.0</v>
      </c>
      <c r="C14" s="22">
        <v>79940.0</v>
      </c>
      <c r="D14" s="23">
        <v>149675.0</v>
      </c>
      <c r="E14" s="23">
        <v>309952.0</v>
      </c>
      <c r="F14" s="23">
        <v>526504.0</v>
      </c>
      <c r="G14" s="23">
        <v>631519.0</v>
      </c>
      <c r="H14" s="22">
        <f t="shared" ref="H14:L14" si="8">0</f>
        <v>0</v>
      </c>
      <c r="I14" s="22">
        <f t="shared" si="8"/>
        <v>0</v>
      </c>
      <c r="J14" s="22">
        <f t="shared" si="8"/>
        <v>0</v>
      </c>
      <c r="K14" s="22">
        <f t="shared" si="8"/>
        <v>0</v>
      </c>
      <c r="L14" s="22">
        <f t="shared" si="8"/>
        <v>0</v>
      </c>
    </row>
    <row r="15" ht="15.75" hidden="1" customHeight="1">
      <c r="A15" s="68" t="s">
        <v>277</v>
      </c>
      <c r="B15" s="22">
        <v>0.0</v>
      </c>
      <c r="C15" s="22">
        <v>0.0</v>
      </c>
      <c r="D15" s="23">
        <v>-1452.0</v>
      </c>
      <c r="E15" s="23">
        <v>-13956.0</v>
      </c>
      <c r="F15" s="23">
        <v>1306.0</v>
      </c>
      <c r="G15" s="23">
        <v>-3387.0</v>
      </c>
      <c r="H15" s="22">
        <f t="shared" ref="H15:L15" si="9">0</f>
        <v>0</v>
      </c>
      <c r="I15" s="22">
        <f t="shared" si="9"/>
        <v>0</v>
      </c>
      <c r="J15" s="22">
        <f t="shared" si="9"/>
        <v>0</v>
      </c>
      <c r="K15" s="22">
        <f t="shared" si="9"/>
        <v>0</v>
      </c>
      <c r="L15" s="22">
        <f t="shared" si="9"/>
        <v>0</v>
      </c>
    </row>
    <row r="16" ht="15.75" hidden="1" customHeight="1">
      <c r="A16" s="68" t="s">
        <v>278</v>
      </c>
      <c r="B16" s="22">
        <v>0.0</v>
      </c>
      <c r="C16" s="22">
        <v>0.0</v>
      </c>
      <c r="D16" s="22">
        <v>0.0</v>
      </c>
      <c r="E16" s="22">
        <v>0.0</v>
      </c>
      <c r="F16" s="23">
        <v>0.0</v>
      </c>
      <c r="G16" s="23">
        <v>-3936.0</v>
      </c>
      <c r="H16" s="22">
        <f t="shared" ref="H16:L16" si="10">0</f>
        <v>0</v>
      </c>
      <c r="I16" s="22">
        <f t="shared" si="10"/>
        <v>0</v>
      </c>
      <c r="J16" s="22">
        <f t="shared" si="10"/>
        <v>0</v>
      </c>
      <c r="K16" s="22">
        <f t="shared" si="10"/>
        <v>0</v>
      </c>
      <c r="L16" s="22">
        <f t="shared" si="10"/>
        <v>0</v>
      </c>
    </row>
    <row r="17" ht="15.75" hidden="1" customHeight="1">
      <c r="A17" s="82" t="s">
        <v>279</v>
      </c>
      <c r="B17" s="22">
        <v>0.0</v>
      </c>
      <c r="C17" s="22">
        <v>0.0</v>
      </c>
      <c r="D17" s="23">
        <v>-1347.0</v>
      </c>
      <c r="E17" s="23">
        <v>0.0</v>
      </c>
      <c r="F17" s="22">
        <v>0.0</v>
      </c>
      <c r="G17" s="22">
        <v>0.0</v>
      </c>
      <c r="H17" s="22">
        <f t="shared" ref="H17:L17" si="11">0</f>
        <v>0</v>
      </c>
      <c r="I17" s="22">
        <f t="shared" si="11"/>
        <v>0</v>
      </c>
      <c r="J17" s="22">
        <f t="shared" si="11"/>
        <v>0</v>
      </c>
      <c r="K17" s="22">
        <f t="shared" si="11"/>
        <v>0</v>
      </c>
      <c r="L17" s="22">
        <f t="shared" si="11"/>
        <v>0</v>
      </c>
    </row>
    <row r="18" ht="15.75" hidden="1" customHeight="1">
      <c r="A18" s="3" t="s">
        <v>280</v>
      </c>
      <c r="B18" s="22">
        <v>-1152.0</v>
      </c>
      <c r="C18" s="22">
        <v>-1247.0</v>
      </c>
      <c r="D18" s="23">
        <v>578.0</v>
      </c>
      <c r="E18" s="23">
        <v>0.0</v>
      </c>
      <c r="F18" s="23">
        <v>0.0</v>
      </c>
      <c r="G18" s="23">
        <v>-2285.0</v>
      </c>
      <c r="H18" s="22">
        <f t="shared" ref="H18:L18" si="12">0</f>
        <v>0</v>
      </c>
      <c r="I18" s="22">
        <f t="shared" si="12"/>
        <v>0</v>
      </c>
      <c r="J18" s="22">
        <f t="shared" si="12"/>
        <v>0</v>
      </c>
      <c r="K18" s="22">
        <f t="shared" si="12"/>
        <v>0</v>
      </c>
      <c r="L18" s="22">
        <f t="shared" si="12"/>
        <v>0</v>
      </c>
    </row>
    <row r="19" ht="15.75" hidden="1" customHeight="1">
      <c r="A19" s="3" t="s">
        <v>281</v>
      </c>
      <c r="B19" s="22">
        <v>98.0</v>
      </c>
      <c r="C19" s="22">
        <v>435.0</v>
      </c>
      <c r="D19" s="23">
        <v>853.0</v>
      </c>
      <c r="E19" s="23">
        <v>2469.0</v>
      </c>
      <c r="F19" s="23">
        <v>2813.0</v>
      </c>
      <c r="G19" s="23">
        <v>3173.0</v>
      </c>
      <c r="H19" s="22">
        <f t="shared" ref="H19:L19" si="13">0</f>
        <v>0</v>
      </c>
      <c r="I19" s="22">
        <f t="shared" si="13"/>
        <v>0</v>
      </c>
      <c r="J19" s="22">
        <f t="shared" si="13"/>
        <v>0</v>
      </c>
      <c r="K19" s="22">
        <f t="shared" si="13"/>
        <v>0</v>
      </c>
      <c r="L19" s="22">
        <f t="shared" si="13"/>
        <v>0</v>
      </c>
    </row>
    <row r="20" ht="15.75" hidden="1" customHeight="1">
      <c r="A20" s="3" t="s">
        <v>282</v>
      </c>
      <c r="B20" s="22">
        <v>0.0</v>
      </c>
      <c r="C20" s="22">
        <v>-427.0</v>
      </c>
      <c r="D20" s="23">
        <v>0.0</v>
      </c>
      <c r="E20" s="23">
        <v>0.0</v>
      </c>
      <c r="F20" s="22">
        <v>0.0</v>
      </c>
      <c r="G20" s="22">
        <v>0.0</v>
      </c>
      <c r="H20" s="22">
        <f t="shared" ref="H20:L20" si="14">0</f>
        <v>0</v>
      </c>
      <c r="I20" s="22">
        <f t="shared" si="14"/>
        <v>0</v>
      </c>
      <c r="J20" s="22">
        <f t="shared" si="14"/>
        <v>0</v>
      </c>
      <c r="K20" s="22">
        <f t="shared" si="14"/>
        <v>0</v>
      </c>
      <c r="L20" s="22">
        <f t="shared" si="14"/>
        <v>0</v>
      </c>
    </row>
    <row r="21" ht="15.75" hidden="1" customHeight="1">
      <c r="A21" s="68" t="s">
        <v>283</v>
      </c>
      <c r="B21" s="22">
        <v>0.0</v>
      </c>
      <c r="C21" s="22">
        <v>0.0</v>
      </c>
      <c r="D21" s="23">
        <v>0.0</v>
      </c>
      <c r="E21" s="23">
        <v>-4823.0</v>
      </c>
      <c r="F21" s="23">
        <v>-1830.0</v>
      </c>
      <c r="G21" s="23">
        <v>1459.0</v>
      </c>
      <c r="H21" s="22">
        <f t="shared" ref="H21:L21" si="15">0</f>
        <v>0</v>
      </c>
      <c r="I21" s="22">
        <f t="shared" si="15"/>
        <v>0</v>
      </c>
      <c r="J21" s="22">
        <f t="shared" si="15"/>
        <v>0</v>
      </c>
      <c r="K21" s="22">
        <f t="shared" si="15"/>
        <v>0</v>
      </c>
      <c r="L21" s="22">
        <f t="shared" si="15"/>
        <v>0</v>
      </c>
    </row>
    <row r="22" ht="15.75" customHeight="1">
      <c r="B22" s="14"/>
      <c r="C22" s="14"/>
      <c r="D22" s="14"/>
      <c r="E22" s="14"/>
      <c r="F22" s="14"/>
      <c r="G22" s="14"/>
      <c r="H22" s="14"/>
      <c r="I22" s="14"/>
      <c r="J22" s="14"/>
      <c r="K22" s="14"/>
      <c r="L22" s="14"/>
    </row>
    <row r="23" ht="15.75" customHeight="1">
      <c r="A23" s="1" t="s">
        <v>284</v>
      </c>
      <c r="B23" s="14"/>
      <c r="C23" s="14"/>
      <c r="D23" s="21"/>
      <c r="E23" s="21"/>
      <c r="F23" s="21"/>
      <c r="G23" s="21"/>
      <c r="H23" s="14"/>
      <c r="I23" s="14"/>
      <c r="J23" s="14"/>
      <c r="K23" s="14"/>
      <c r="L23" s="14"/>
    </row>
    <row r="24" ht="15.75" customHeight="1">
      <c r="A24" s="73" t="s">
        <v>201</v>
      </c>
      <c r="B24" s="22">
        <v>-33413.0</v>
      </c>
      <c r="C24" s="22">
        <v>-73067.0</v>
      </c>
      <c r="D24" s="23">
        <v>-73022.0</v>
      </c>
      <c r="E24" s="23">
        <v>-125354.0</v>
      </c>
      <c r="F24" s="23">
        <v>-258109.0</v>
      </c>
      <c r="G24" s="23">
        <v>-217699.0</v>
      </c>
      <c r="H24" s="57">
        <f>-1*('Balance Sheet'!H7-'Balance Sheet'!G7)</f>
        <v>-66016.55693</v>
      </c>
      <c r="I24" s="57">
        <f>-1*('Balance Sheet'!I7-'Balance Sheet'!H7)</f>
        <v>-275261.0519</v>
      </c>
      <c r="J24" s="57">
        <f>-1*('Balance Sheet'!J7-'Balance Sheet'!I7)</f>
        <v>-369144.1477</v>
      </c>
      <c r="K24" s="57">
        <f>-1*('Balance Sheet'!K7-'Balance Sheet'!J7)</f>
        <v>-400433.7941</v>
      </c>
      <c r="L24" s="57">
        <f>-1*('Balance Sheet'!L7-'Balance Sheet'!K7)</f>
        <v>-436361.2247</v>
      </c>
    </row>
    <row r="25" ht="15.75" customHeight="1">
      <c r="A25" s="73" t="s">
        <v>285</v>
      </c>
      <c r="B25" s="22">
        <v>-45073.0</v>
      </c>
      <c r="C25" s="22">
        <v>-86594.0</v>
      </c>
      <c r="D25" s="23">
        <v>-150975.0</v>
      </c>
      <c r="E25" s="23">
        <v>-234308.0</v>
      </c>
      <c r="F25" s="23">
        <v>-298716.0</v>
      </c>
      <c r="G25" s="23">
        <v>-371649.0</v>
      </c>
      <c r="H25" s="14">
        <f t="shared" ref="H25:L25" si="16">B120*-1</f>
        <v>-707691.7866</v>
      </c>
      <c r="I25" s="14">
        <f t="shared" si="16"/>
        <v>-919633.2694</v>
      </c>
      <c r="J25" s="14">
        <f t="shared" si="16"/>
        <v>-1203861.486</v>
      </c>
      <c r="K25" s="14">
        <f t="shared" si="16"/>
        <v>-1512181.648</v>
      </c>
      <c r="L25" s="14">
        <f t="shared" si="16"/>
        <v>-1848164.688</v>
      </c>
    </row>
    <row r="26" ht="15.75" customHeight="1">
      <c r="A26" s="73" t="s">
        <v>286</v>
      </c>
      <c r="B26" s="22">
        <v>-5819.0</v>
      </c>
      <c r="C26" s="22">
        <v>-43467.0</v>
      </c>
      <c r="D26" s="23">
        <v>2198.0</v>
      </c>
      <c r="E26" s="23">
        <v>-29535.0</v>
      </c>
      <c r="F26" s="23">
        <v>-46807.0</v>
      </c>
      <c r="G26" s="23">
        <v>-102520.0</v>
      </c>
      <c r="H26" s="57">
        <f>-1*('Balance Sheet'!H9-'Balance Sheet'!G9)</f>
        <v>-29683.53401</v>
      </c>
      <c r="I26" s="57">
        <f>-1*('Balance Sheet'!I9-'Balance Sheet'!H9)</f>
        <v>-66146.92822</v>
      </c>
      <c r="J26" s="57">
        <f>-1*('Balance Sheet'!J9-'Balance Sheet'!I9)</f>
        <v>-78010.06196</v>
      </c>
      <c r="K26" s="57">
        <f>-1*('Balance Sheet'!K9-'Balance Sheet'!J9)</f>
        <v>-63957.21626</v>
      </c>
      <c r="L26" s="57">
        <f>-1*('Balance Sheet'!L9-'Balance Sheet'!K9)</f>
        <v>-86222.87747</v>
      </c>
    </row>
    <row r="27" ht="15.75" customHeight="1">
      <c r="A27" s="73" t="s">
        <v>287</v>
      </c>
      <c r="B27" s="22">
        <f>3564+-2403+971</f>
        <v>2132</v>
      </c>
      <c r="C27" s="22">
        <f>9173-6570+17526</f>
        <v>20129</v>
      </c>
      <c r="D27" s="23">
        <f>33083+11325+33212</f>
        <v>77620</v>
      </c>
      <c r="E27" s="23">
        <f>38483+33248+32681</f>
        <v>104412</v>
      </c>
      <c r="F27" s="23">
        <f>58923+-15463+65226</f>
        <v>108686</v>
      </c>
      <c r="G27" s="23">
        <f>14586+-18898+65102</f>
        <v>60790</v>
      </c>
      <c r="H27" s="57">
        <f>('Balance Sheet'!H23-'Balance Sheet'!G23)+('Balance Sheet'!H26-'Balance Sheet'!G26)</f>
        <v>24906.18933</v>
      </c>
      <c r="I27" s="57">
        <f>('Balance Sheet'!I23-'Balance Sheet'!H23)+('Balance Sheet'!I26-'Balance Sheet'!H26)</f>
        <v>128532.1476</v>
      </c>
      <c r="J27" s="57">
        <f>('Balance Sheet'!J23-'Balance Sheet'!I23)+('Balance Sheet'!J26-'Balance Sheet'!I26)</f>
        <v>151583.7707</v>
      </c>
      <c r="K27" s="57">
        <f>('Balance Sheet'!K23-'Balance Sheet'!J23)+('Balance Sheet'!K26-'Balance Sheet'!J26)</f>
        <v>124277.2504</v>
      </c>
      <c r="L27" s="57">
        <f>('Balance Sheet'!L23-'Balance Sheet'!K23)+('Balance Sheet'!L26-'Balance Sheet'!K26)</f>
        <v>167542.3472</v>
      </c>
    </row>
    <row r="28" ht="15.75" customHeight="1">
      <c r="A28" s="83" t="s">
        <v>288</v>
      </c>
      <c r="B28" s="22">
        <v>0.0</v>
      </c>
      <c r="C28" s="22">
        <v>0.0</v>
      </c>
      <c r="D28" s="23">
        <v>-8105.0</v>
      </c>
      <c r="E28" s="23">
        <v>-9900.0</v>
      </c>
      <c r="F28" s="23">
        <v>-10364.0</v>
      </c>
      <c r="G28" s="23">
        <v>-14035.0</v>
      </c>
      <c r="H28" s="57">
        <f>('Balance Sheet'!H31+'Balance Sheet'!H24)-('Balance Sheet'!G31+'Balance Sheet'!G24)</f>
        <v>0</v>
      </c>
      <c r="I28" s="57">
        <f>('Balance Sheet'!I31+'Balance Sheet'!I24)-('Balance Sheet'!H31+'Balance Sheet'!H24)</f>
        <v>0</v>
      </c>
      <c r="J28" s="57">
        <f>('Balance Sheet'!J31+'Balance Sheet'!J24)-('Balance Sheet'!I31+'Balance Sheet'!I24)</f>
        <v>0</v>
      </c>
      <c r="K28" s="57">
        <f>('Balance Sheet'!K31+'Balance Sheet'!K24)-('Balance Sheet'!J31+'Balance Sheet'!J24)</f>
        <v>0</v>
      </c>
      <c r="L28" s="57">
        <f>('Balance Sheet'!L31+'Balance Sheet'!L24)-('Balance Sheet'!K31+'Balance Sheet'!K24)</f>
        <v>0</v>
      </c>
    </row>
    <row r="29" ht="15.75" customHeight="1">
      <c r="A29" s="73" t="s">
        <v>217</v>
      </c>
      <c r="B29" s="22">
        <v>131117.0</v>
      </c>
      <c r="C29" s="22">
        <v>280768.0</v>
      </c>
      <c r="D29" s="23">
        <v>338803.0</v>
      </c>
      <c r="E29" s="23">
        <v>616408.0</v>
      </c>
      <c r="F29" s="23">
        <v>825751.0</v>
      </c>
      <c r="G29" s="23">
        <v>696639.0</v>
      </c>
      <c r="H29" s="57">
        <f>('Balance Sheet'!H30+'Balance Sheet'!H25)-('Balance Sheet'!G30+'Balance Sheet'!G25)</f>
        <v>824606.73</v>
      </c>
      <c r="I29" s="57">
        <f>('Balance Sheet'!I30+'Balance Sheet'!I25)-('Balance Sheet'!H30+'Balance Sheet'!H25)</f>
        <v>930889.3752</v>
      </c>
      <c r="J29" s="57">
        <f>('Balance Sheet'!J30+'Balance Sheet'!J25)-('Balance Sheet'!I30+'Balance Sheet'!I25)</f>
        <v>1058110.923</v>
      </c>
      <c r="K29" s="57">
        <f>('Balance Sheet'!K30+'Balance Sheet'!K25)-('Balance Sheet'!J30+'Balance Sheet'!J25)</f>
        <v>1173541.206</v>
      </c>
      <c r="L29" s="57">
        <f>('Balance Sheet'!L30+'Balance Sheet'!L25)-('Balance Sheet'!K30+'Balance Sheet'!K25)</f>
        <v>1267424.502</v>
      </c>
    </row>
    <row r="30" ht="15.75" customHeight="1">
      <c r="A30" s="73" t="s">
        <v>223</v>
      </c>
      <c r="B30" s="22">
        <v>356.0</v>
      </c>
      <c r="C30" s="22">
        <v>-298.0</v>
      </c>
      <c r="D30" s="22">
        <v>0.0</v>
      </c>
      <c r="E30" s="22">
        <v>0.0</v>
      </c>
      <c r="F30" s="22">
        <v>0.0</v>
      </c>
      <c r="G30" s="22">
        <v>0.0</v>
      </c>
      <c r="H30" s="57">
        <f>('Balance Sheet'!H32-'Balance Sheet'!G32)</f>
        <v>0</v>
      </c>
      <c r="I30" s="57">
        <f>('Balance Sheet'!I32-'Balance Sheet'!H32)</f>
        <v>0</v>
      </c>
      <c r="J30" s="57">
        <f>('Balance Sheet'!J32-'Balance Sheet'!I32)</f>
        <v>0</v>
      </c>
      <c r="K30" s="57">
        <f>('Balance Sheet'!K32-'Balance Sheet'!J32)</f>
        <v>0</v>
      </c>
      <c r="L30" s="57">
        <f>('Balance Sheet'!L32-'Balance Sheet'!K32)</f>
        <v>0</v>
      </c>
    </row>
    <row r="31" ht="15.75" customHeight="1">
      <c r="A31" s="1" t="s">
        <v>289</v>
      </c>
      <c r="B31" s="33">
        <v>-22968.0</v>
      </c>
      <c r="C31" s="33">
        <v>99943.0</v>
      </c>
      <c r="D31" s="34">
        <v>356566.0</v>
      </c>
      <c r="E31" s="34">
        <v>574784.0</v>
      </c>
      <c r="F31" s="34">
        <v>941007.0</v>
      </c>
      <c r="G31" s="34">
        <v>1166207.0</v>
      </c>
      <c r="H31" s="13">
        <f t="shared" ref="H31:L31" si="17">H4+sum(H7:H21)+sum(H24:H30)</f>
        <v>958963.0888</v>
      </c>
      <c r="I31" s="13">
        <f t="shared" si="17"/>
        <v>1282315.526</v>
      </c>
      <c r="J31" s="13">
        <f t="shared" si="17"/>
        <v>1870381.365</v>
      </c>
      <c r="K31" s="13">
        <f t="shared" si="17"/>
        <v>2635204.689</v>
      </c>
      <c r="L31" s="13">
        <f t="shared" si="17"/>
        <v>3520456.491</v>
      </c>
      <c r="M31" s="1"/>
      <c r="N31" s="1"/>
      <c r="O31" s="1"/>
      <c r="P31" s="1"/>
      <c r="Q31" s="1"/>
      <c r="R31" s="1"/>
      <c r="S31" s="1"/>
      <c r="T31" s="1"/>
      <c r="U31" s="1"/>
      <c r="V31" s="1"/>
      <c r="W31" s="1"/>
      <c r="X31" s="1"/>
    </row>
    <row r="32" ht="15.75" customHeight="1">
      <c r="B32" s="14"/>
      <c r="C32" s="14"/>
      <c r="D32" s="14"/>
      <c r="E32" s="14"/>
      <c r="F32" s="14"/>
      <c r="G32" s="14"/>
      <c r="H32" s="14"/>
      <c r="I32" s="14"/>
      <c r="J32" s="14"/>
      <c r="K32" s="14"/>
      <c r="L32" s="14"/>
    </row>
    <row r="33" ht="15.75" customHeight="1">
      <c r="A33" s="1" t="s">
        <v>290</v>
      </c>
      <c r="B33" s="14"/>
      <c r="C33" s="14"/>
      <c r="D33" s="21"/>
      <c r="E33" s="21"/>
      <c r="F33" s="21"/>
      <c r="G33" s="21"/>
      <c r="H33" s="14"/>
      <c r="I33" s="14"/>
      <c r="J33" s="14"/>
      <c r="K33" s="14"/>
      <c r="L33" s="14"/>
    </row>
    <row r="34" ht="15.75" customHeight="1">
      <c r="A34" s="73" t="s">
        <v>291</v>
      </c>
      <c r="B34" s="22">
        <f>-6794-35851</f>
        <v>-42645</v>
      </c>
      <c r="C34" s="22">
        <f>-7289-80198</f>
        <v>-87487</v>
      </c>
      <c r="D34" s="23">
        <f>-10864-52799</f>
        <v>-63663</v>
      </c>
      <c r="E34" s="23">
        <f>-20866-112143</f>
        <v>-133009</v>
      </c>
      <c r="F34" s="23">
        <f>-29095-235019</f>
        <v>-264114</v>
      </c>
      <c r="G34" s="23">
        <f>-49457-176529</f>
        <v>-225986</v>
      </c>
      <c r="H34" s="14">
        <f t="shared" ref="H34:L34" si="18">-1*B79</f>
        <v>-479836.716</v>
      </c>
      <c r="I34" s="14">
        <f t="shared" si="18"/>
        <v>-623539.5355</v>
      </c>
      <c r="J34" s="14">
        <f t="shared" si="18"/>
        <v>-816254.9759</v>
      </c>
      <c r="K34" s="14">
        <f t="shared" si="18"/>
        <v>-1025305.493</v>
      </c>
      <c r="L34" s="14">
        <f t="shared" si="18"/>
        <v>-1253112.289</v>
      </c>
    </row>
    <row r="35" ht="15.75" customHeight="1">
      <c r="A35" s="3" t="s">
        <v>292</v>
      </c>
      <c r="B35" s="22">
        <v>0.0</v>
      </c>
      <c r="C35" s="22">
        <v>-1000.0</v>
      </c>
      <c r="D35" s="23">
        <v>-1500.0</v>
      </c>
      <c r="E35" s="23">
        <v>-16309.0</v>
      </c>
      <c r="F35" s="23">
        <v>-21808.0</v>
      </c>
      <c r="G35" s="23">
        <v>-17177.0</v>
      </c>
      <c r="H35" s="22">
        <f t="shared" ref="H35:L35" si="19">0</f>
        <v>0</v>
      </c>
      <c r="I35" s="22">
        <f t="shared" si="19"/>
        <v>0</v>
      </c>
      <c r="J35" s="22">
        <f t="shared" si="19"/>
        <v>0</v>
      </c>
      <c r="K35" s="22">
        <f t="shared" si="19"/>
        <v>0</v>
      </c>
      <c r="L35" s="22">
        <f t="shared" si="19"/>
        <v>0</v>
      </c>
    </row>
    <row r="36" ht="15.75" customHeight="1">
      <c r="A36" s="68" t="s">
        <v>293</v>
      </c>
      <c r="B36" s="22">
        <v>0.0</v>
      </c>
      <c r="C36" s="22">
        <v>0.0</v>
      </c>
      <c r="D36" s="22">
        <v>0.0</v>
      </c>
      <c r="E36" s="22">
        <v>0.0</v>
      </c>
      <c r="F36" s="23">
        <v>0.0</v>
      </c>
      <c r="G36" s="23">
        <v>2000.0</v>
      </c>
      <c r="H36" s="22">
        <f t="shared" ref="H36:L36" si="20">0</f>
        <v>0</v>
      </c>
      <c r="I36" s="22">
        <f t="shared" si="20"/>
        <v>0</v>
      </c>
      <c r="J36" s="22">
        <f t="shared" si="20"/>
        <v>0</v>
      </c>
      <c r="K36" s="22">
        <f t="shared" si="20"/>
        <v>0</v>
      </c>
      <c r="L36" s="22">
        <f t="shared" si="20"/>
        <v>0</v>
      </c>
    </row>
    <row r="37" ht="15.75" customHeight="1">
      <c r="A37" s="3" t="s">
        <v>294</v>
      </c>
      <c r="B37" s="22">
        <v>0.0</v>
      </c>
      <c r="C37" s="22">
        <v>0.0</v>
      </c>
      <c r="D37" s="23">
        <v>-85517.0</v>
      </c>
      <c r="E37" s="23">
        <v>-414518.0</v>
      </c>
      <c r="F37" s="23">
        <v>-18349.0</v>
      </c>
      <c r="G37" s="23">
        <v>-239030.0</v>
      </c>
      <c r="H37" s="22">
        <f t="shared" ref="H37:L37" si="21">0</f>
        <v>0</v>
      </c>
      <c r="I37" s="22">
        <f t="shared" si="21"/>
        <v>0</v>
      </c>
      <c r="J37" s="22">
        <f t="shared" si="21"/>
        <v>0</v>
      </c>
      <c r="K37" s="22">
        <f t="shared" si="21"/>
        <v>0</v>
      </c>
      <c r="L37" s="22">
        <f t="shared" si="21"/>
        <v>0</v>
      </c>
    </row>
    <row r="38" ht="15.75" customHeight="1">
      <c r="A38" s="73" t="s">
        <v>295</v>
      </c>
      <c r="B38" s="22">
        <v>0.0</v>
      </c>
      <c r="C38" s="22">
        <v>0.0</v>
      </c>
      <c r="D38" s="23">
        <v>-180.0</v>
      </c>
      <c r="E38" s="23">
        <v>-680.0</v>
      </c>
      <c r="F38" s="23">
        <v>-2323.0</v>
      </c>
      <c r="G38" s="23">
        <v>-11126.0</v>
      </c>
      <c r="H38" s="14">
        <f t="shared" ref="H38:L38" si="22">B95*-1</f>
        <v>-7141.357956</v>
      </c>
      <c r="I38" s="14">
        <f t="shared" si="22"/>
        <v>-9280.071479</v>
      </c>
      <c r="J38" s="14">
        <f t="shared" si="22"/>
        <v>-12148.23454</v>
      </c>
      <c r="K38" s="14">
        <f t="shared" si="22"/>
        <v>-15259.51078</v>
      </c>
      <c r="L38" s="14">
        <f t="shared" si="22"/>
        <v>-18649.93469</v>
      </c>
    </row>
    <row r="39" ht="15.75" customHeight="1">
      <c r="A39" s="3" t="s">
        <v>296</v>
      </c>
      <c r="B39" s="22">
        <v>-199335.0</v>
      </c>
      <c r="C39" s="22">
        <v>-779701.0</v>
      </c>
      <c r="D39" s="23">
        <v>-84904.0</v>
      </c>
      <c r="E39" s="23">
        <v>0.0</v>
      </c>
      <c r="F39" s="23">
        <v>-250000.0</v>
      </c>
      <c r="G39" s="23">
        <v>-195581.0</v>
      </c>
      <c r="H39" s="22">
        <f t="shared" ref="H39:L39" si="23">0</f>
        <v>0</v>
      </c>
      <c r="I39" s="22">
        <f t="shared" si="23"/>
        <v>0</v>
      </c>
      <c r="J39" s="22">
        <f t="shared" si="23"/>
        <v>0</v>
      </c>
      <c r="K39" s="22">
        <f t="shared" si="23"/>
        <v>0</v>
      </c>
      <c r="L39" s="22">
        <f t="shared" si="23"/>
        <v>0</v>
      </c>
      <c r="M39" s="14"/>
    </row>
    <row r="40" ht="15.75" customHeight="1">
      <c r="A40" s="3" t="s">
        <v>297</v>
      </c>
      <c r="B40" s="22">
        <f>99950</f>
        <v>99950</v>
      </c>
      <c r="C40" s="22">
        <f>9581+228976</f>
        <v>238557</v>
      </c>
      <c r="D40" s="23">
        <f>639586+91605</f>
        <v>731191</v>
      </c>
      <c r="E40" s="23">
        <v>0.0</v>
      </c>
      <c r="F40" s="23">
        <v>0.0</v>
      </c>
      <c r="G40" s="23">
        <v>348281.0</v>
      </c>
      <c r="H40" s="22">
        <f t="shared" ref="H40:L40" si="24">0</f>
        <v>0</v>
      </c>
      <c r="I40" s="22">
        <f t="shared" si="24"/>
        <v>0</v>
      </c>
      <c r="J40" s="22">
        <f t="shared" si="24"/>
        <v>0</v>
      </c>
      <c r="K40" s="22">
        <f t="shared" si="24"/>
        <v>0</v>
      </c>
      <c r="L40" s="22">
        <f t="shared" si="24"/>
        <v>0</v>
      </c>
    </row>
    <row r="41" ht="15.75" customHeight="1">
      <c r="A41" s="68" t="s">
        <v>298</v>
      </c>
      <c r="B41" s="22"/>
      <c r="C41" s="22"/>
      <c r="D41" s="23"/>
      <c r="E41" s="23"/>
      <c r="F41" s="23">
        <v>-64.0</v>
      </c>
      <c r="G41" s="23">
        <v>-2031.0</v>
      </c>
      <c r="H41" s="22">
        <f t="shared" ref="H41:L41" si="25">0</f>
        <v>0</v>
      </c>
      <c r="I41" s="22">
        <f t="shared" si="25"/>
        <v>0</v>
      </c>
      <c r="J41" s="22">
        <f t="shared" si="25"/>
        <v>0</v>
      </c>
      <c r="K41" s="22">
        <f t="shared" si="25"/>
        <v>0</v>
      </c>
      <c r="L41" s="22">
        <f t="shared" si="25"/>
        <v>0</v>
      </c>
    </row>
    <row r="42" ht="15.75" customHeight="1">
      <c r="A42" s="1" t="s">
        <v>299</v>
      </c>
      <c r="B42" s="33">
        <v>-142030.0</v>
      </c>
      <c r="C42" s="33">
        <v>-629631.0</v>
      </c>
      <c r="D42" s="34">
        <v>495427.0</v>
      </c>
      <c r="E42" s="34">
        <v>-564516.0</v>
      </c>
      <c r="F42" s="34">
        <v>-556658.0</v>
      </c>
      <c r="G42" s="34">
        <v>-340650.0</v>
      </c>
      <c r="H42" s="13">
        <f t="shared" ref="H42:L42" si="26">sum(H34:H41)</f>
        <v>-486978.074</v>
      </c>
      <c r="I42" s="13">
        <f t="shared" si="26"/>
        <v>-632819.607</v>
      </c>
      <c r="J42" s="13">
        <f t="shared" si="26"/>
        <v>-828403.2104</v>
      </c>
      <c r="K42" s="13">
        <f t="shared" si="26"/>
        <v>-1040565.004</v>
      </c>
      <c r="L42" s="13">
        <f t="shared" si="26"/>
        <v>-1271762.224</v>
      </c>
      <c r="M42" s="1"/>
      <c r="N42" s="1"/>
      <c r="O42" s="1"/>
      <c r="P42" s="1"/>
      <c r="Q42" s="1"/>
      <c r="R42" s="1"/>
      <c r="S42" s="1"/>
      <c r="T42" s="1"/>
      <c r="U42" s="1"/>
      <c r="V42" s="1"/>
      <c r="W42" s="1"/>
      <c r="X42" s="1"/>
    </row>
    <row r="43" ht="15.75" customHeight="1">
      <c r="B43" s="14"/>
      <c r="C43" s="14"/>
      <c r="D43" s="14"/>
      <c r="E43" s="14"/>
      <c r="F43" s="14"/>
      <c r="G43" s="14"/>
      <c r="H43" s="14"/>
      <c r="I43" s="14"/>
      <c r="J43" s="14"/>
      <c r="K43" s="14"/>
      <c r="L43" s="14"/>
    </row>
    <row r="44" ht="15.75" customHeight="1">
      <c r="A44" s="1" t="s">
        <v>300</v>
      </c>
      <c r="B44" s="14"/>
      <c r="C44" s="14"/>
      <c r="D44" s="21"/>
      <c r="E44" s="21"/>
      <c r="F44" s="21"/>
      <c r="G44" s="21"/>
      <c r="H44" s="14"/>
      <c r="I44" s="14"/>
      <c r="J44" s="14"/>
      <c r="K44" s="14"/>
      <c r="L44" s="14"/>
    </row>
    <row r="45" ht="15.75" customHeight="1">
      <c r="A45" s="3" t="s">
        <v>301</v>
      </c>
      <c r="B45" s="22">
        <v>-6158.0</v>
      </c>
      <c r="C45" s="22">
        <v>0.0</v>
      </c>
      <c r="D45" s="22">
        <v>0.0</v>
      </c>
      <c r="E45" s="22">
        <v>0.0</v>
      </c>
      <c r="F45" s="23">
        <v>-1591.0</v>
      </c>
      <c r="G45" s="23">
        <v>0.0</v>
      </c>
      <c r="H45" s="22">
        <f t="shared" ref="H45:L45" si="27">0</f>
        <v>0</v>
      </c>
      <c r="I45" s="22">
        <f t="shared" si="27"/>
        <v>0</v>
      </c>
      <c r="J45" s="22">
        <f t="shared" si="27"/>
        <v>0</v>
      </c>
      <c r="K45" s="22">
        <f t="shared" si="27"/>
        <v>0</v>
      </c>
      <c r="L45" s="22">
        <f t="shared" si="27"/>
        <v>0</v>
      </c>
    </row>
    <row r="46" ht="15.75" customHeight="1">
      <c r="A46" s="3" t="s">
        <v>302</v>
      </c>
      <c r="B46" s="22">
        <v>10000.0</v>
      </c>
      <c r="C46" s="22">
        <v>0.0</v>
      </c>
      <c r="D46" s="22">
        <v>0.0</v>
      </c>
      <c r="E46" s="22">
        <v>0.0</v>
      </c>
      <c r="F46" s="22">
        <v>0.0</v>
      </c>
      <c r="G46" s="22">
        <v>0.0</v>
      </c>
      <c r="H46" s="22">
        <f t="shared" ref="H46:L46" si="28">0</f>
        <v>0</v>
      </c>
      <c r="I46" s="22">
        <f t="shared" si="28"/>
        <v>0</v>
      </c>
      <c r="J46" s="22">
        <f t="shared" si="28"/>
        <v>0</v>
      </c>
      <c r="K46" s="22">
        <f t="shared" si="28"/>
        <v>0</v>
      </c>
      <c r="L46" s="22">
        <f t="shared" si="28"/>
        <v>0</v>
      </c>
    </row>
    <row r="47" ht="15.75" customHeight="1">
      <c r="A47" s="3" t="s">
        <v>303</v>
      </c>
      <c r="B47" s="22">
        <v>-20000.0</v>
      </c>
      <c r="C47" s="22">
        <v>0.0</v>
      </c>
      <c r="D47" s="22">
        <v>0.0</v>
      </c>
      <c r="E47" s="22">
        <v>0.0</v>
      </c>
      <c r="F47" s="22">
        <v>0.0</v>
      </c>
      <c r="G47" s="22">
        <v>0.0</v>
      </c>
      <c r="H47" s="22">
        <f t="shared" ref="H47:L47" si="29">0</f>
        <v>0</v>
      </c>
      <c r="I47" s="22">
        <f t="shared" si="29"/>
        <v>0</v>
      </c>
      <c r="J47" s="22">
        <f t="shared" si="29"/>
        <v>0</v>
      </c>
      <c r="K47" s="22">
        <f t="shared" si="29"/>
        <v>0</v>
      </c>
      <c r="L47" s="22">
        <f t="shared" si="29"/>
        <v>0</v>
      </c>
    </row>
    <row r="48" ht="15.75" customHeight="1">
      <c r="A48" s="3" t="s">
        <v>304</v>
      </c>
      <c r="B48" s="22">
        <v>0.0</v>
      </c>
      <c r="C48" s="22">
        <v>0.0</v>
      </c>
      <c r="D48" s="22">
        <v>0.0</v>
      </c>
      <c r="E48" s="22">
        <v>0.0</v>
      </c>
      <c r="F48" s="22">
        <v>0.0</v>
      </c>
      <c r="G48" s="22">
        <v>0.0</v>
      </c>
      <c r="H48" s="22">
        <f t="shared" ref="H48:L48" si="30">0</f>
        <v>0</v>
      </c>
      <c r="I48" s="22">
        <f t="shared" si="30"/>
        <v>0</v>
      </c>
      <c r="J48" s="22">
        <f t="shared" si="30"/>
        <v>0</v>
      </c>
      <c r="K48" s="22">
        <f t="shared" si="30"/>
        <v>0</v>
      </c>
      <c r="L48" s="22">
        <f t="shared" si="30"/>
        <v>0</v>
      </c>
    </row>
    <row r="49" ht="15.75" customHeight="1">
      <c r="A49" s="3" t="s">
        <v>305</v>
      </c>
      <c r="B49" s="22">
        <v>198.0</v>
      </c>
      <c r="C49" s="22">
        <v>0.0</v>
      </c>
      <c r="D49" s="22">
        <v>0.0</v>
      </c>
      <c r="E49" s="22">
        <v>0.0</v>
      </c>
      <c r="F49" s="22">
        <v>0.0</v>
      </c>
      <c r="G49" s="22">
        <v>0.0</v>
      </c>
      <c r="H49" s="22">
        <f t="shared" ref="H49:L49" si="31">0</f>
        <v>0</v>
      </c>
      <c r="I49" s="22">
        <f t="shared" si="31"/>
        <v>0</v>
      </c>
      <c r="J49" s="22">
        <f t="shared" si="31"/>
        <v>0</v>
      </c>
      <c r="K49" s="22">
        <f t="shared" si="31"/>
        <v>0</v>
      </c>
      <c r="L49" s="22">
        <f t="shared" si="31"/>
        <v>0</v>
      </c>
    </row>
    <row r="50" ht="15.75" customHeight="1">
      <c r="A50" s="3" t="s">
        <v>306</v>
      </c>
      <c r="B50" s="22">
        <v>-242.0</v>
      </c>
      <c r="C50" s="22">
        <v>0.0</v>
      </c>
      <c r="D50" s="22">
        <v>0.0</v>
      </c>
      <c r="E50" s="22">
        <v>0.0</v>
      </c>
      <c r="F50" s="22">
        <v>0.0</v>
      </c>
      <c r="G50" s="22">
        <v>0.0</v>
      </c>
      <c r="H50" s="22">
        <f t="shared" ref="H50:L50" si="32">0</f>
        <v>0</v>
      </c>
      <c r="I50" s="22">
        <f t="shared" si="32"/>
        <v>0</v>
      </c>
      <c r="J50" s="22">
        <f t="shared" si="32"/>
        <v>0</v>
      </c>
      <c r="K50" s="22">
        <f t="shared" si="32"/>
        <v>0</v>
      </c>
      <c r="L50" s="22">
        <f t="shared" si="32"/>
        <v>0</v>
      </c>
    </row>
    <row r="51" ht="15.75" customHeight="1">
      <c r="A51" s="3" t="s">
        <v>307</v>
      </c>
      <c r="B51" s="22">
        <v>-1887.0</v>
      </c>
      <c r="C51" s="22">
        <v>0.0</v>
      </c>
      <c r="D51" s="22">
        <v>0.0</v>
      </c>
      <c r="E51" s="22">
        <v>0.0</v>
      </c>
      <c r="F51" s="22">
        <v>0.0</v>
      </c>
      <c r="G51" s="22">
        <v>0.0</v>
      </c>
      <c r="H51" s="22">
        <f t="shared" ref="H51:L51" si="33">0</f>
        <v>0</v>
      </c>
      <c r="I51" s="22">
        <f t="shared" si="33"/>
        <v>0</v>
      </c>
      <c r="J51" s="22">
        <f t="shared" si="33"/>
        <v>0</v>
      </c>
      <c r="K51" s="22">
        <f t="shared" si="33"/>
        <v>0</v>
      </c>
      <c r="L51" s="22">
        <f t="shared" si="33"/>
        <v>0</v>
      </c>
    </row>
    <row r="52" ht="15.75" customHeight="1">
      <c r="A52" s="3" t="s">
        <v>308</v>
      </c>
      <c r="B52" s="22">
        <v>-2330.0</v>
      </c>
      <c r="C52" s="22">
        <v>0.0</v>
      </c>
      <c r="D52" s="22">
        <v>0.0</v>
      </c>
      <c r="E52" s="22">
        <v>0.0</v>
      </c>
      <c r="F52" s="22">
        <v>0.0</v>
      </c>
      <c r="G52" s="22">
        <v>0.0</v>
      </c>
      <c r="H52" s="22">
        <f t="shared" ref="H52:L52" si="34">0</f>
        <v>0</v>
      </c>
      <c r="I52" s="22">
        <f t="shared" si="34"/>
        <v>0</v>
      </c>
      <c r="J52" s="22">
        <f t="shared" si="34"/>
        <v>0</v>
      </c>
      <c r="K52" s="22">
        <f t="shared" si="34"/>
        <v>0</v>
      </c>
      <c r="L52" s="22">
        <f t="shared" si="34"/>
        <v>0</v>
      </c>
    </row>
    <row r="53" ht="15.75" customHeight="1">
      <c r="A53" s="68" t="s">
        <v>309</v>
      </c>
      <c r="B53" s="22">
        <v>0.0</v>
      </c>
      <c r="C53" s="22">
        <v>0.0</v>
      </c>
      <c r="D53" s="23">
        <v>-3328.0</v>
      </c>
      <c r="E53" s="23">
        <v>-219.0</v>
      </c>
      <c r="F53" s="22">
        <v>0.0</v>
      </c>
      <c r="G53" s="22">
        <v>0.0</v>
      </c>
      <c r="H53" s="22">
        <f t="shared" ref="H53:L53" si="35">0</f>
        <v>0</v>
      </c>
      <c r="I53" s="22">
        <f t="shared" si="35"/>
        <v>0</v>
      </c>
      <c r="J53" s="22">
        <f t="shared" si="35"/>
        <v>0</v>
      </c>
      <c r="K53" s="22">
        <f t="shared" si="35"/>
        <v>0</v>
      </c>
      <c r="L53" s="22">
        <f t="shared" si="35"/>
        <v>0</v>
      </c>
    </row>
    <row r="54" ht="15.75" customHeight="1">
      <c r="A54" s="68" t="s">
        <v>310</v>
      </c>
      <c r="B54" s="22">
        <v>0.0</v>
      </c>
      <c r="C54" s="22">
        <v>0.0</v>
      </c>
      <c r="D54" s="23">
        <v>0.0</v>
      </c>
      <c r="E54" s="23">
        <v>-1581.0</v>
      </c>
      <c r="F54" s="65">
        <v>0.0</v>
      </c>
      <c r="G54" s="65">
        <v>0.0</v>
      </c>
      <c r="H54" s="22">
        <f t="shared" ref="H54:L54" si="36">0</f>
        <v>0</v>
      </c>
      <c r="I54" s="22">
        <f t="shared" si="36"/>
        <v>0</v>
      </c>
      <c r="J54" s="22">
        <f t="shared" si="36"/>
        <v>0</v>
      </c>
      <c r="K54" s="22">
        <f t="shared" si="36"/>
        <v>0</v>
      </c>
      <c r="L54" s="22">
        <f t="shared" si="36"/>
        <v>0</v>
      </c>
    </row>
    <row r="55" ht="15.75" customHeight="1">
      <c r="A55" s="82" t="s">
        <v>311</v>
      </c>
      <c r="B55" s="22">
        <v>0.0</v>
      </c>
      <c r="C55" s="22">
        <v>0.0</v>
      </c>
      <c r="D55" s="23">
        <v>739569.0</v>
      </c>
      <c r="E55" s="23">
        <v>0.0</v>
      </c>
      <c r="F55" s="65">
        <v>0.0</v>
      </c>
      <c r="G55" s="65">
        <v>0.0</v>
      </c>
      <c r="H55" s="22">
        <f t="shared" ref="H55:L55" si="37">0</f>
        <v>0</v>
      </c>
      <c r="I55" s="22">
        <f t="shared" si="37"/>
        <v>0</v>
      </c>
      <c r="J55" s="22">
        <f t="shared" si="37"/>
        <v>0</v>
      </c>
      <c r="K55" s="22">
        <f t="shared" si="37"/>
        <v>0</v>
      </c>
      <c r="L55" s="22">
        <f t="shared" si="37"/>
        <v>0</v>
      </c>
    </row>
    <row r="56" ht="15.75" customHeight="1">
      <c r="A56" s="3" t="s">
        <v>312</v>
      </c>
      <c r="B56" s="22">
        <v>0.0</v>
      </c>
      <c r="C56" s="22">
        <v>-5872.0</v>
      </c>
      <c r="D56" s="23">
        <v>0.0</v>
      </c>
      <c r="E56" s="23">
        <v>0.0</v>
      </c>
      <c r="F56" s="65">
        <v>0.0</v>
      </c>
      <c r="G56" s="65">
        <v>0.0</v>
      </c>
      <c r="H56" s="22">
        <f t="shared" ref="H56:L56" si="38">0</f>
        <v>0</v>
      </c>
      <c r="I56" s="22">
        <f t="shared" si="38"/>
        <v>0</v>
      </c>
      <c r="J56" s="22">
        <f t="shared" si="38"/>
        <v>0</v>
      </c>
      <c r="K56" s="22">
        <f t="shared" si="38"/>
        <v>0</v>
      </c>
      <c r="L56" s="22">
        <f t="shared" si="38"/>
        <v>0</v>
      </c>
    </row>
    <row r="57" ht="15.75" customHeight="1">
      <c r="A57" s="3" t="s">
        <v>313</v>
      </c>
      <c r="B57" s="22">
        <v>0.0</v>
      </c>
      <c r="C57" s="22">
        <v>665092.0</v>
      </c>
      <c r="D57" s="23">
        <v>0.0</v>
      </c>
      <c r="E57" s="23">
        <v>0.0</v>
      </c>
      <c r="F57" s="23">
        <v>0.0</v>
      </c>
      <c r="G57" s="23">
        <v>0.0</v>
      </c>
      <c r="H57" s="22">
        <f t="shared" ref="H57:L57" si="39">0</f>
        <v>0</v>
      </c>
      <c r="I57" s="22">
        <f t="shared" si="39"/>
        <v>0</v>
      </c>
      <c r="J57" s="22">
        <f t="shared" si="39"/>
        <v>0</v>
      </c>
      <c r="K57" s="22">
        <f t="shared" si="39"/>
        <v>0</v>
      </c>
      <c r="L57" s="22">
        <f t="shared" si="39"/>
        <v>0</v>
      </c>
    </row>
    <row r="58" ht="15.75" customHeight="1">
      <c r="A58" s="3" t="s">
        <v>314</v>
      </c>
      <c r="B58" s="22">
        <v>206896.0</v>
      </c>
      <c r="C58" s="22">
        <v>0.0</v>
      </c>
      <c r="D58" s="22">
        <v>0.0</v>
      </c>
      <c r="E58" s="22">
        <v>0.0</v>
      </c>
      <c r="F58" s="23">
        <v>0.0</v>
      </c>
      <c r="G58" s="23">
        <v>0.0</v>
      </c>
      <c r="H58" s="22">
        <f t="shared" ref="H58:L58" si="40">0</f>
        <v>0</v>
      </c>
      <c r="I58" s="22">
        <f t="shared" si="40"/>
        <v>0</v>
      </c>
      <c r="J58" s="22">
        <f t="shared" si="40"/>
        <v>0</v>
      </c>
      <c r="K58" s="22">
        <f t="shared" si="40"/>
        <v>0</v>
      </c>
      <c r="L58" s="22">
        <f t="shared" si="40"/>
        <v>0</v>
      </c>
    </row>
    <row r="59" ht="15.75" customHeight="1">
      <c r="A59" s="3" t="s">
        <v>315</v>
      </c>
      <c r="B59" s="22">
        <v>3912.0</v>
      </c>
      <c r="C59" s="22">
        <f>21512+10264</f>
        <v>31776</v>
      </c>
      <c r="D59" s="23">
        <v>28831.0</v>
      </c>
      <c r="E59" s="23">
        <v>15899.0</v>
      </c>
      <c r="F59" s="23">
        <v>8655.0</v>
      </c>
      <c r="G59" s="23">
        <v>8695.0</v>
      </c>
      <c r="H59" s="22">
        <f t="shared" ref="H59:L59" si="41">0</f>
        <v>0</v>
      </c>
      <c r="I59" s="22">
        <f t="shared" si="41"/>
        <v>0</v>
      </c>
      <c r="J59" s="22">
        <f t="shared" si="41"/>
        <v>0</v>
      </c>
      <c r="K59" s="22">
        <f t="shared" si="41"/>
        <v>0</v>
      </c>
      <c r="L59" s="22">
        <f t="shared" si="41"/>
        <v>0</v>
      </c>
    </row>
    <row r="60" ht="15.75" customHeight="1">
      <c r="A60" s="3" t="s">
        <v>316</v>
      </c>
      <c r="B60" s="22">
        <v>0.0</v>
      </c>
      <c r="C60" s="22">
        <v>12365.0</v>
      </c>
      <c r="D60" s="23">
        <v>34263.0</v>
      </c>
      <c r="E60" s="23">
        <v>50277.0</v>
      </c>
      <c r="F60" s="23">
        <v>59419.0</v>
      </c>
      <c r="G60" s="23">
        <v>76375.0</v>
      </c>
      <c r="H60" s="22">
        <f t="shared" ref="H60:L60" si="42">0</f>
        <v>0</v>
      </c>
      <c r="I60" s="22">
        <f t="shared" si="42"/>
        <v>0</v>
      </c>
      <c r="J60" s="22">
        <f t="shared" si="42"/>
        <v>0</v>
      </c>
      <c r="K60" s="22">
        <f t="shared" si="42"/>
        <v>0</v>
      </c>
      <c r="L60" s="22">
        <f t="shared" si="42"/>
        <v>0</v>
      </c>
    </row>
    <row r="61" ht="15.75" customHeight="1">
      <c r="A61" s="3" t="s">
        <v>317</v>
      </c>
      <c r="B61" s="22">
        <v>0.0</v>
      </c>
      <c r="C61" s="22">
        <v>2283.0</v>
      </c>
      <c r="D61" s="23">
        <v>0.0</v>
      </c>
      <c r="E61" s="23">
        <v>0.0</v>
      </c>
      <c r="F61" s="22">
        <v>0.0</v>
      </c>
      <c r="G61" s="22">
        <v>0.0</v>
      </c>
      <c r="H61" s="22">
        <f t="shared" ref="H61:L61" si="43">0</f>
        <v>0</v>
      </c>
      <c r="I61" s="22">
        <f t="shared" si="43"/>
        <v>0</v>
      </c>
      <c r="J61" s="22">
        <f t="shared" si="43"/>
        <v>0</v>
      </c>
      <c r="K61" s="22">
        <f t="shared" si="43"/>
        <v>0</v>
      </c>
      <c r="L61" s="22">
        <f t="shared" si="43"/>
        <v>0</v>
      </c>
    </row>
    <row r="62" ht="15.75" customHeight="1">
      <c r="A62" s="3" t="s">
        <v>318</v>
      </c>
      <c r="B62" s="22">
        <v>0.0</v>
      </c>
      <c r="C62" s="22">
        <v>500.0</v>
      </c>
      <c r="D62" s="23">
        <v>800.0</v>
      </c>
      <c r="E62" s="23">
        <v>8155.0</v>
      </c>
      <c r="F62" s="23">
        <v>10954.0</v>
      </c>
      <c r="G62" s="23">
        <v>8088.0</v>
      </c>
      <c r="H62" s="22">
        <f>('Balance Sheet'!H40-'Balance Sheet'!G40)</f>
        <v>3698.051616</v>
      </c>
      <c r="I62" s="22">
        <f>('Balance Sheet'!I40-'Balance Sheet'!H40)</f>
        <v>6781.16709</v>
      </c>
      <c r="J62" s="22">
        <f>('Balance Sheet'!J40-'Balance Sheet'!I40)</f>
        <v>12001.58386</v>
      </c>
      <c r="K62" s="22">
        <f>('Balance Sheet'!K40-'Balance Sheet'!J40)</f>
        <v>18019.47837</v>
      </c>
      <c r="L62" s="22">
        <f>('Balance Sheet'!L40-'Balance Sheet'!K40)</f>
        <v>24185.47141</v>
      </c>
    </row>
    <row r="63" ht="15.75" customHeight="1">
      <c r="A63" s="1" t="s">
        <v>319</v>
      </c>
      <c r="B63" s="33">
        <v>190389.0</v>
      </c>
      <c r="C63" s="33">
        <v>706144.0</v>
      </c>
      <c r="D63" s="34">
        <v>800135.0</v>
      </c>
      <c r="E63" s="34">
        <v>72531.0</v>
      </c>
      <c r="F63" s="34">
        <v>77437.0</v>
      </c>
      <c r="G63" s="34">
        <v>93158.0</v>
      </c>
      <c r="H63" s="13">
        <f t="shared" ref="H63:L63" si="44">sum(H45:H62)</f>
        <v>3698.051616</v>
      </c>
      <c r="I63" s="13">
        <f t="shared" si="44"/>
        <v>6781.16709</v>
      </c>
      <c r="J63" s="13">
        <f t="shared" si="44"/>
        <v>12001.58386</v>
      </c>
      <c r="K63" s="13">
        <f t="shared" si="44"/>
        <v>18019.47837</v>
      </c>
      <c r="L63" s="13">
        <f t="shared" si="44"/>
        <v>24185.47141</v>
      </c>
      <c r="M63" s="1"/>
      <c r="N63" s="1"/>
      <c r="O63" s="1"/>
      <c r="P63" s="1"/>
      <c r="Q63" s="1"/>
      <c r="R63" s="1"/>
      <c r="S63" s="1"/>
      <c r="T63" s="1"/>
      <c r="U63" s="1"/>
      <c r="V63" s="1"/>
      <c r="W63" s="1"/>
      <c r="X63" s="1"/>
    </row>
    <row r="64" ht="15.75" customHeight="1">
      <c r="B64" s="14"/>
      <c r="C64" s="14"/>
      <c r="D64" s="84"/>
      <c r="E64" s="84"/>
      <c r="F64" s="84"/>
      <c r="G64" s="84"/>
      <c r="H64" s="14"/>
      <c r="I64" s="14"/>
      <c r="J64" s="14"/>
      <c r="K64" s="14"/>
      <c r="L64" s="14"/>
    </row>
    <row r="65" ht="15.75" customHeight="1">
      <c r="A65" s="3" t="s">
        <v>320</v>
      </c>
      <c r="B65" s="22">
        <v>-162.0</v>
      </c>
      <c r="C65" s="22">
        <v>-66.0</v>
      </c>
      <c r="D65" s="23">
        <v>1682.0</v>
      </c>
      <c r="E65" s="23">
        <v>-4774.0</v>
      </c>
      <c r="F65" s="23">
        <v>-1495.0</v>
      </c>
      <c r="G65" s="23">
        <v>1958.0</v>
      </c>
      <c r="H65" s="22">
        <f t="shared" ref="H65:L65" si="45">0</f>
        <v>0</v>
      </c>
      <c r="I65" s="22">
        <f t="shared" si="45"/>
        <v>0</v>
      </c>
      <c r="J65" s="22">
        <f t="shared" si="45"/>
        <v>0</v>
      </c>
      <c r="K65" s="22">
        <f t="shared" si="45"/>
        <v>0</v>
      </c>
      <c r="L65" s="22">
        <f t="shared" si="45"/>
        <v>0</v>
      </c>
    </row>
    <row r="66" ht="15.75" customHeight="1">
      <c r="A66" s="3" t="s">
        <v>321</v>
      </c>
      <c r="B66" s="22">
        <v>25229.0</v>
      </c>
      <c r="C66" s="22">
        <v>176390.0</v>
      </c>
      <c r="D66" s="23">
        <v>1653810.0</v>
      </c>
      <c r="E66" s="23">
        <v>78025.0</v>
      </c>
      <c r="F66" s="23">
        <v>460291.0</v>
      </c>
      <c r="G66" s="23">
        <v>920673.0</v>
      </c>
      <c r="H66" s="14">
        <f t="shared" ref="H66:L66" si="46">H31+H42+H63</f>
        <v>475683.0665</v>
      </c>
      <c r="I66" s="14">
        <f t="shared" si="46"/>
        <v>656277.0858</v>
      </c>
      <c r="J66" s="14">
        <f t="shared" si="46"/>
        <v>1053979.738</v>
      </c>
      <c r="K66" s="14">
        <f t="shared" si="46"/>
        <v>1612659.163</v>
      </c>
      <c r="L66" s="14">
        <f t="shared" si="46"/>
        <v>2272879.739</v>
      </c>
    </row>
    <row r="67" ht="15.75" customHeight="1">
      <c r="A67" s="3" t="s">
        <v>322</v>
      </c>
      <c r="B67" s="22">
        <v>63179.0</v>
      </c>
      <c r="C67" s="22">
        <v>88408.0</v>
      </c>
      <c r="D67" s="23">
        <v>264798.0</v>
      </c>
      <c r="E67" s="23">
        <v>1918608.0</v>
      </c>
      <c r="F67" s="23">
        <v>1996633.0</v>
      </c>
      <c r="G67" s="23">
        <v>2456924.0</v>
      </c>
      <c r="H67" s="14">
        <f>'Balance Sheet'!G5</f>
        <v>3375069</v>
      </c>
      <c r="I67" s="14">
        <f>'Balance Sheet'!H5</f>
        <v>3850752.066</v>
      </c>
      <c r="J67" s="14">
        <f>'Balance Sheet'!I5</f>
        <v>4507029.152</v>
      </c>
      <c r="K67" s="14">
        <f>'Balance Sheet'!J5</f>
        <v>5561008.891</v>
      </c>
      <c r="L67" s="14">
        <f>'Balance Sheet'!K5</f>
        <v>7173668.054</v>
      </c>
    </row>
    <row r="68" ht="15.75" customHeight="1">
      <c r="A68" s="1" t="s">
        <v>323</v>
      </c>
      <c r="B68" s="33">
        <v>88408.0</v>
      </c>
      <c r="C68" s="33">
        <v>264798.0</v>
      </c>
      <c r="D68" s="34">
        <v>1918608.0</v>
      </c>
      <c r="E68" s="34">
        <v>1996633.0</v>
      </c>
      <c r="F68" s="34">
        <v>2456924.0</v>
      </c>
      <c r="G68" s="34">
        <v>3377597.0</v>
      </c>
      <c r="H68" s="14">
        <f t="shared" ref="H68:L68" si="47">sum(H66:H67)</f>
        <v>3850752.066</v>
      </c>
      <c r="I68" s="14">
        <f t="shared" si="47"/>
        <v>4507029.152</v>
      </c>
      <c r="J68" s="14">
        <f t="shared" si="47"/>
        <v>5561008.891</v>
      </c>
      <c r="K68" s="14">
        <f t="shared" si="47"/>
        <v>7173668.054</v>
      </c>
      <c r="L68" s="14">
        <f t="shared" si="47"/>
        <v>9446547.793</v>
      </c>
    </row>
    <row r="69" ht="15.75" customHeight="1">
      <c r="B69" s="14"/>
      <c r="C69" s="14"/>
      <c r="D69" s="69"/>
      <c r="E69" s="69"/>
      <c r="F69" s="21"/>
      <c r="G69" s="21"/>
    </row>
    <row r="70" ht="15.75" customHeight="1">
      <c r="B70" s="14"/>
      <c r="C70" s="14"/>
      <c r="D70" s="69"/>
      <c r="E70" s="69"/>
      <c r="F70" s="14"/>
      <c r="G70" s="14"/>
    </row>
    <row r="71" ht="15.75" customHeight="1">
      <c r="B71" s="14"/>
      <c r="C71" s="14"/>
      <c r="D71" s="69"/>
      <c r="E71" s="69"/>
      <c r="F71" s="14"/>
      <c r="G71" s="14"/>
    </row>
    <row r="72" ht="15.75" customHeight="1">
      <c r="A72" s="1" t="s">
        <v>324</v>
      </c>
      <c r="G72" s="64"/>
    </row>
    <row r="73" ht="15.75" customHeight="1">
      <c r="A73" s="1" t="s">
        <v>325</v>
      </c>
      <c r="B73" s="64">
        <v>2025.0</v>
      </c>
      <c r="C73" s="64">
        <v>2026.0</v>
      </c>
      <c r="D73" s="72">
        <v>2027.0</v>
      </c>
      <c r="E73" s="72">
        <v>2028.0</v>
      </c>
      <c r="F73" s="64">
        <v>2029.0</v>
      </c>
      <c r="G73" s="13" t="s">
        <v>123</v>
      </c>
    </row>
    <row r="74" ht="15.75" customHeight="1">
      <c r="A74" s="3" t="s">
        <v>326</v>
      </c>
      <c r="B74" s="14">
        <f>'Scratch Work'!$H$20*'Income Statement'!H6</f>
        <v>479836.716</v>
      </c>
      <c r="C74" s="14">
        <f>'Scratch Work'!$H$20*'Income Statement'!I6</f>
        <v>623539.5355</v>
      </c>
      <c r="D74" s="14">
        <f>'Scratch Work'!$H$20*'Income Statement'!J6</f>
        <v>816254.9759</v>
      </c>
      <c r="E74" s="14">
        <f>'Scratch Work'!$H$20*'Income Statement'!K6</f>
        <v>1025305.493</v>
      </c>
      <c r="F74" s="14">
        <f>'Scratch Work'!$H$20*'Income Statement'!L6</f>
        <v>1253112.289</v>
      </c>
      <c r="G74" s="13">
        <v>1.0</v>
      </c>
    </row>
    <row r="75" ht="15.75" customHeight="1">
      <c r="A75" s="3" t="s">
        <v>125</v>
      </c>
      <c r="B75" s="14"/>
      <c r="C75" s="14"/>
      <c r="D75" s="14"/>
      <c r="E75" s="14"/>
      <c r="F75" s="14"/>
      <c r="G75" s="13">
        <v>2.0</v>
      </c>
    </row>
    <row r="76" ht="15.75" customHeight="1">
      <c r="A76" s="3" t="s">
        <v>126</v>
      </c>
      <c r="B76" s="14"/>
      <c r="C76" s="14"/>
      <c r="D76" s="14"/>
      <c r="E76" s="14"/>
      <c r="F76" s="14"/>
      <c r="G76" s="13">
        <v>3.0</v>
      </c>
    </row>
    <row r="77" ht="15.75" customHeight="1">
      <c r="A77" s="3" t="s">
        <v>127</v>
      </c>
      <c r="B77" s="14"/>
      <c r="C77" s="14"/>
      <c r="D77" s="14"/>
      <c r="E77" s="14"/>
      <c r="F77" s="14"/>
      <c r="G77" s="13">
        <v>4.0</v>
      </c>
    </row>
    <row r="78" ht="15.75" customHeight="1">
      <c r="A78" s="3" t="s">
        <v>128</v>
      </c>
      <c r="B78" s="14"/>
      <c r="C78" s="14"/>
      <c r="D78" s="14"/>
      <c r="E78" s="14"/>
      <c r="F78" s="14"/>
      <c r="G78" s="13">
        <v>5.0</v>
      </c>
    </row>
    <row r="79" ht="15.75" customHeight="1">
      <c r="A79" s="1" t="s">
        <v>327</v>
      </c>
      <c r="B79" s="13">
        <f t="shared" ref="B79:F79" si="48">IFS($C$3=$G74,B74,$C$3=$G75,B75,$C$3=$G76,B76,$C$3=$G77,B77,$C$3=$G78,B78)</f>
        <v>479836.716</v>
      </c>
      <c r="C79" s="13">
        <f t="shared" si="48"/>
        <v>623539.5355</v>
      </c>
      <c r="D79" s="13">
        <f t="shared" si="48"/>
        <v>816254.9759</v>
      </c>
      <c r="E79" s="13">
        <f t="shared" si="48"/>
        <v>1025305.493</v>
      </c>
      <c r="F79" s="13">
        <f t="shared" si="48"/>
        <v>1253112.289</v>
      </c>
      <c r="G79" s="14"/>
    </row>
    <row r="80" ht="15.75" customHeight="1">
      <c r="B80" s="14"/>
      <c r="C80" s="14"/>
      <c r="D80" s="14"/>
      <c r="E80" s="14"/>
      <c r="F80" s="14"/>
      <c r="G80" s="14"/>
    </row>
    <row r="81" ht="15.75" customHeight="1">
      <c r="B81" s="14"/>
      <c r="C81" s="14"/>
      <c r="D81" s="14"/>
      <c r="E81" s="14"/>
      <c r="F81" s="14"/>
      <c r="G81" s="14"/>
    </row>
    <row r="82" ht="15.75" customHeight="1">
      <c r="A82" s="1" t="s">
        <v>328</v>
      </c>
      <c r="B82" s="14"/>
      <c r="C82" s="14"/>
      <c r="D82" s="14"/>
      <c r="E82" s="14"/>
      <c r="F82" s="14"/>
      <c r="G82" s="14"/>
    </row>
    <row r="83" ht="15.75" customHeight="1">
      <c r="A83" s="85" t="s">
        <v>329</v>
      </c>
      <c r="B83" s="86" t="s">
        <v>330</v>
      </c>
      <c r="C83" s="86" t="s">
        <v>331</v>
      </c>
      <c r="D83" s="86" t="s">
        <v>332</v>
      </c>
      <c r="E83" s="14"/>
      <c r="H83" s="87">
        <v>2025.0</v>
      </c>
      <c r="I83" s="87">
        <v>2026.0</v>
      </c>
      <c r="J83" s="87">
        <v>2027.0</v>
      </c>
      <c r="K83" s="87">
        <v>2028.0</v>
      </c>
      <c r="L83" s="87">
        <v>2029.0</v>
      </c>
    </row>
    <row r="84" ht="15.75" customHeight="1">
      <c r="A84" s="85">
        <v>2025.0</v>
      </c>
      <c r="B84" s="88">
        <f t="array" ref="B84:B88">transpose(B79:F79)</f>
        <v>479836.716</v>
      </c>
      <c r="C84" s="89">
        <v>5.0</v>
      </c>
      <c r="D84" s="89">
        <v>0.0</v>
      </c>
      <c r="E84" s="14"/>
      <c r="H84" s="90">
        <f t="shared" ref="H84:L84" si="49">if((median($A84,H$83,$A84+$C84))=H$83, SLN($B84,$D84,($C84)),0)</f>
        <v>95967.34321</v>
      </c>
      <c r="I84" s="90">
        <f t="shared" si="49"/>
        <v>95967.34321</v>
      </c>
      <c r="J84" s="90">
        <f t="shared" si="49"/>
        <v>95967.34321</v>
      </c>
      <c r="K84" s="90">
        <f t="shared" si="49"/>
        <v>95967.34321</v>
      </c>
      <c r="L84" s="90">
        <f t="shared" si="49"/>
        <v>95967.34321</v>
      </c>
    </row>
    <row r="85" ht="15.75" customHeight="1">
      <c r="A85" s="85">
        <v>2026.0</v>
      </c>
      <c r="B85" s="88">
        <v>623539.5355143335</v>
      </c>
      <c r="C85" s="89">
        <v>5.0</v>
      </c>
      <c r="D85" s="89">
        <v>0.0</v>
      </c>
      <c r="E85" s="14"/>
      <c r="H85" s="90">
        <f t="shared" ref="H85:L85" si="50">if((median($A85,H$83,$A85+$C85))=H$83, SLN($B85,$D85,($C85)),0)</f>
        <v>0</v>
      </c>
      <c r="I85" s="90">
        <f t="shared" si="50"/>
        <v>124707.9071</v>
      </c>
      <c r="J85" s="90">
        <f t="shared" si="50"/>
        <v>124707.9071</v>
      </c>
      <c r="K85" s="90">
        <f t="shared" si="50"/>
        <v>124707.9071</v>
      </c>
      <c r="L85" s="90">
        <f t="shared" si="50"/>
        <v>124707.9071</v>
      </c>
    </row>
    <row r="86" ht="15.75" customHeight="1">
      <c r="A86" s="85">
        <v>2027.0</v>
      </c>
      <c r="B86" s="88">
        <v>816254.9758776478</v>
      </c>
      <c r="C86" s="89">
        <v>5.0</v>
      </c>
      <c r="D86" s="89">
        <v>0.0</v>
      </c>
      <c r="E86" s="14"/>
      <c r="H86" s="90">
        <f t="shared" ref="H86:L86" si="51">if((median($A86,H$83,$A86+$C86))=H$83, SLN($B86,$D86,($C86)),0)</f>
        <v>0</v>
      </c>
      <c r="I86" s="90">
        <f t="shared" si="51"/>
        <v>0</v>
      </c>
      <c r="J86" s="90">
        <f t="shared" si="51"/>
        <v>163250.9952</v>
      </c>
      <c r="K86" s="90">
        <f t="shared" si="51"/>
        <v>163250.9952</v>
      </c>
      <c r="L86" s="90">
        <f t="shared" si="51"/>
        <v>163250.9952</v>
      </c>
    </row>
    <row r="87" ht="15.75" customHeight="1">
      <c r="A87" s="85">
        <v>2028.0</v>
      </c>
      <c r="B87" s="88">
        <v>1025305.4929804954</v>
      </c>
      <c r="C87" s="89">
        <v>5.0</v>
      </c>
      <c r="D87" s="89">
        <v>0.0</v>
      </c>
      <c r="E87" s="14"/>
      <c r="H87" s="90">
        <f t="shared" ref="H87:L87" si="52">if((median($A87,H$83,$A87+$C87))=H$83, SLN($B87,$D87,($C87)),0)</f>
        <v>0</v>
      </c>
      <c r="I87" s="90">
        <f t="shared" si="52"/>
        <v>0</v>
      </c>
      <c r="J87" s="90">
        <f t="shared" si="52"/>
        <v>0</v>
      </c>
      <c r="K87" s="90">
        <f t="shared" si="52"/>
        <v>205061.0986</v>
      </c>
      <c r="L87" s="90">
        <f t="shared" si="52"/>
        <v>205061.0986</v>
      </c>
    </row>
    <row r="88" ht="15.75" customHeight="1">
      <c r="A88" s="85">
        <v>2029.0</v>
      </c>
      <c r="B88" s="88">
        <v>1253112.2890351857</v>
      </c>
      <c r="C88" s="89">
        <v>5.0</v>
      </c>
      <c r="D88" s="89">
        <v>0.0</v>
      </c>
      <c r="E88" s="14"/>
      <c r="H88" s="90">
        <f t="shared" ref="H88:L88" si="53">if((median($A88,H$83,$A88+$C88))=H$83, SLN($B88,$D88,($C88)),0)</f>
        <v>0</v>
      </c>
      <c r="I88" s="90">
        <f t="shared" si="53"/>
        <v>0</v>
      </c>
      <c r="J88" s="90">
        <f t="shared" si="53"/>
        <v>0</v>
      </c>
      <c r="K88" s="90">
        <f t="shared" si="53"/>
        <v>0</v>
      </c>
      <c r="L88" s="90">
        <f t="shared" si="53"/>
        <v>250622.4578</v>
      </c>
    </row>
    <row r="89" ht="15.75" customHeight="1">
      <c r="B89" s="14"/>
      <c r="C89" s="14"/>
      <c r="D89" s="14"/>
      <c r="E89" s="14"/>
      <c r="F89" s="14"/>
      <c r="G89" s="14"/>
    </row>
    <row r="90" ht="15.75" customHeight="1">
      <c r="A90" s="3" t="s">
        <v>333</v>
      </c>
      <c r="B90" s="22">
        <v>0.0</v>
      </c>
      <c r="C90" s="22">
        <v>0.0</v>
      </c>
      <c r="D90" s="22">
        <v>0.0</v>
      </c>
      <c r="E90" s="22">
        <v>0.0</v>
      </c>
      <c r="F90" s="22">
        <v>0.0</v>
      </c>
      <c r="G90" s="39">
        <v>0.0</v>
      </c>
      <c r="H90" s="14">
        <f t="shared" ref="H90:L90" si="54">sum(H84:H88)</f>
        <v>95967.34321</v>
      </c>
      <c r="I90" s="14">
        <f t="shared" si="54"/>
        <v>220675.2503</v>
      </c>
      <c r="J90" s="14">
        <f t="shared" si="54"/>
        <v>383926.2455</v>
      </c>
      <c r="K90" s="14">
        <f t="shared" si="54"/>
        <v>588987.3441</v>
      </c>
      <c r="L90" s="14">
        <f t="shared" si="54"/>
        <v>839609.8019</v>
      </c>
    </row>
    <row r="91" ht="15.75" customHeight="1">
      <c r="A91" s="3" t="s">
        <v>334</v>
      </c>
      <c r="B91" s="14">
        <v>14815.0</v>
      </c>
      <c r="C91" s="14">
        <v>23026.0</v>
      </c>
      <c r="D91" s="69">
        <v>38710.0</v>
      </c>
      <c r="E91" s="69">
        <v>55908.0</v>
      </c>
      <c r="F91" s="69">
        <v>77245.0</v>
      </c>
      <c r="G91" s="69">
        <v>126838.0</v>
      </c>
      <c r="H91" s="14">
        <f t="shared" ref="H91:L91" si="55">G91</f>
        <v>126838</v>
      </c>
      <c r="I91" s="14">
        <f t="shared" si="55"/>
        <v>126838</v>
      </c>
      <c r="J91" s="14">
        <f t="shared" si="55"/>
        <v>126838</v>
      </c>
      <c r="K91" s="14">
        <f t="shared" si="55"/>
        <v>126838</v>
      </c>
      <c r="L91" s="14">
        <f t="shared" si="55"/>
        <v>126838</v>
      </c>
    </row>
    <row r="92" ht="15.75" customHeight="1">
      <c r="A92" s="1" t="s">
        <v>335</v>
      </c>
      <c r="B92" s="13">
        <f t="shared" ref="B92:L92" si="56">sum(B90:B91)</f>
        <v>14815</v>
      </c>
      <c r="C92" s="13">
        <f t="shared" si="56"/>
        <v>23026</v>
      </c>
      <c r="D92" s="13">
        <f t="shared" si="56"/>
        <v>38710</v>
      </c>
      <c r="E92" s="13">
        <f t="shared" si="56"/>
        <v>55908</v>
      </c>
      <c r="F92" s="13">
        <f t="shared" si="56"/>
        <v>77245</v>
      </c>
      <c r="G92" s="3">
        <f t="shared" si="56"/>
        <v>126838</v>
      </c>
      <c r="H92" s="13">
        <f t="shared" si="56"/>
        <v>222805.3432</v>
      </c>
      <c r="I92" s="13">
        <f t="shared" si="56"/>
        <v>347513.2503</v>
      </c>
      <c r="J92" s="13">
        <f t="shared" si="56"/>
        <v>510764.2455</v>
      </c>
      <c r="K92" s="13">
        <f t="shared" si="56"/>
        <v>715825.3441</v>
      </c>
      <c r="L92" s="13">
        <f t="shared" si="56"/>
        <v>966447.8019</v>
      </c>
    </row>
    <row r="93" ht="15.75" customHeight="1">
      <c r="B93" s="14"/>
      <c r="C93" s="14"/>
      <c r="D93" s="14"/>
      <c r="E93" s="14"/>
      <c r="F93" s="14"/>
      <c r="G93" s="14"/>
    </row>
    <row r="94" ht="15.75" customHeight="1">
      <c r="A94" s="1" t="s">
        <v>336</v>
      </c>
      <c r="B94" s="64">
        <v>2025.0</v>
      </c>
      <c r="C94" s="64">
        <v>2026.0</v>
      </c>
      <c r="D94" s="72">
        <v>2027.0</v>
      </c>
      <c r="E94" s="72">
        <v>2028.0</v>
      </c>
      <c r="F94" s="64">
        <v>2029.0</v>
      </c>
      <c r="G94" s="13" t="s">
        <v>123</v>
      </c>
    </row>
    <row r="95" ht="15.75" customHeight="1">
      <c r="A95" s="3" t="s">
        <v>337</v>
      </c>
      <c r="B95" s="14">
        <f>'Scratch Work'!$H$21*'Income Statement'!H6</f>
        <v>7141.357956</v>
      </c>
      <c r="C95" s="14">
        <f>'Scratch Work'!$H$21*'Income Statement'!I6</f>
        <v>9280.071479</v>
      </c>
      <c r="D95" s="14">
        <f>'Scratch Work'!$H$21*'Income Statement'!J6</f>
        <v>12148.23454</v>
      </c>
      <c r="E95" s="14">
        <f>'Scratch Work'!$H$21*'Income Statement'!K6</f>
        <v>15259.51078</v>
      </c>
      <c r="F95" s="14">
        <f>'Scratch Work'!$H$21*'Income Statement'!L6</f>
        <v>18649.93469</v>
      </c>
      <c r="G95" s="13">
        <v>1.0</v>
      </c>
    </row>
    <row r="96" ht="15.75" customHeight="1">
      <c r="A96" s="3" t="s">
        <v>125</v>
      </c>
      <c r="B96" s="14"/>
      <c r="C96" s="14"/>
      <c r="D96" s="14"/>
      <c r="E96" s="14"/>
      <c r="F96" s="14"/>
      <c r="G96" s="13">
        <v>2.0</v>
      </c>
    </row>
    <row r="97" ht="15.75" customHeight="1">
      <c r="A97" s="3" t="s">
        <v>126</v>
      </c>
      <c r="B97" s="14"/>
      <c r="C97" s="14"/>
      <c r="D97" s="14"/>
      <c r="E97" s="14"/>
      <c r="F97" s="14"/>
      <c r="G97" s="13">
        <v>3.0</v>
      </c>
    </row>
    <row r="98" ht="15.75" customHeight="1">
      <c r="A98" s="3" t="s">
        <v>127</v>
      </c>
      <c r="B98" s="14"/>
      <c r="C98" s="14"/>
      <c r="D98" s="14"/>
      <c r="E98" s="14"/>
      <c r="F98" s="14"/>
      <c r="G98" s="13">
        <v>4.0</v>
      </c>
    </row>
    <row r="99" ht="15.75" customHeight="1">
      <c r="A99" s="3" t="s">
        <v>128</v>
      </c>
      <c r="B99" s="14"/>
      <c r="C99" s="14"/>
      <c r="D99" s="14"/>
      <c r="E99" s="14"/>
      <c r="F99" s="14"/>
      <c r="G99" s="13">
        <v>5.0</v>
      </c>
    </row>
    <row r="100" ht="15.75" customHeight="1">
      <c r="A100" s="1" t="s">
        <v>327</v>
      </c>
      <c r="B100" s="13">
        <f t="shared" ref="B100:F100" si="57">IFS($C$3=$G95,B95,$C$3=$G96,B96,$C$3=$G97,B97,$C$3=$G98,B98,$C$3=$G99,B99)</f>
        <v>7141.357956</v>
      </c>
      <c r="C100" s="13">
        <f t="shared" si="57"/>
        <v>9280.071479</v>
      </c>
      <c r="D100" s="13">
        <f t="shared" si="57"/>
        <v>12148.23454</v>
      </c>
      <c r="E100" s="13">
        <f t="shared" si="57"/>
        <v>15259.51078</v>
      </c>
      <c r="F100" s="13">
        <f t="shared" si="57"/>
        <v>18649.93469</v>
      </c>
      <c r="G100" s="14"/>
    </row>
    <row r="101" ht="15.75" customHeight="1">
      <c r="B101" s="14"/>
      <c r="C101" s="14"/>
      <c r="D101" s="14"/>
      <c r="E101" s="14"/>
      <c r="F101" s="14"/>
      <c r="G101" s="14"/>
    </row>
    <row r="102" ht="15.75" customHeight="1">
      <c r="A102" s="1" t="s">
        <v>271</v>
      </c>
      <c r="B102" s="14"/>
      <c r="C102" s="14"/>
      <c r="D102" s="14"/>
      <c r="E102" s="14"/>
      <c r="F102" s="14"/>
      <c r="G102" s="14"/>
    </row>
    <row r="103" ht="15.75" customHeight="1">
      <c r="A103" s="85" t="s">
        <v>329</v>
      </c>
      <c r="B103" s="86" t="s">
        <v>336</v>
      </c>
      <c r="C103" s="86" t="s">
        <v>331</v>
      </c>
      <c r="D103" s="86" t="s">
        <v>332</v>
      </c>
      <c r="E103" s="14"/>
      <c r="H103" s="87">
        <v>2025.0</v>
      </c>
      <c r="I103" s="87">
        <v>2026.0</v>
      </c>
      <c r="J103" s="87">
        <v>2027.0</v>
      </c>
      <c r="K103" s="87">
        <v>2028.0</v>
      </c>
      <c r="L103" s="87">
        <v>2029.0</v>
      </c>
    </row>
    <row r="104" ht="15.75" customHeight="1">
      <c r="A104" s="85">
        <v>2025.0</v>
      </c>
      <c r="B104" s="88">
        <f t="array" ref="B104:B108">transpose(B100:F100)</f>
        <v>7141.357956</v>
      </c>
      <c r="C104" s="89">
        <v>20.0</v>
      </c>
      <c r="D104" s="89">
        <v>0.0</v>
      </c>
      <c r="E104" s="14"/>
      <c r="H104" s="90">
        <f t="shared" ref="H104:L104" si="58">if((median($A104,H$83,$A104+$C104))=H$83, SLN($B104,$D104,($C104)),0)</f>
        <v>357.0678978</v>
      </c>
      <c r="I104" s="90">
        <f t="shared" si="58"/>
        <v>357.0678978</v>
      </c>
      <c r="J104" s="90">
        <f t="shared" si="58"/>
        <v>357.0678978</v>
      </c>
      <c r="K104" s="90">
        <f t="shared" si="58"/>
        <v>357.0678978</v>
      </c>
      <c r="L104" s="90">
        <f t="shared" si="58"/>
        <v>357.0678978</v>
      </c>
    </row>
    <row r="105" ht="15.75" customHeight="1">
      <c r="A105" s="85">
        <v>2026.0</v>
      </c>
      <c r="B105" s="88">
        <v>9280.071479029539</v>
      </c>
      <c r="C105" s="89">
        <v>20.0</v>
      </c>
      <c r="D105" s="89">
        <v>0.0</v>
      </c>
      <c r="E105" s="14"/>
      <c r="H105" s="90">
        <f t="shared" ref="H105:L105" si="59">if((median($A105,H$83,$A105+$C105))=H$83, SLN($B105,$D105,($C105)),0)</f>
        <v>0</v>
      </c>
      <c r="I105" s="90">
        <f t="shared" si="59"/>
        <v>464.003574</v>
      </c>
      <c r="J105" s="90">
        <f t="shared" si="59"/>
        <v>464.003574</v>
      </c>
      <c r="K105" s="90">
        <f t="shared" si="59"/>
        <v>464.003574</v>
      </c>
      <c r="L105" s="90">
        <f t="shared" si="59"/>
        <v>464.003574</v>
      </c>
    </row>
    <row r="106" ht="15.75" customHeight="1">
      <c r="A106" s="85">
        <v>2027.0</v>
      </c>
      <c r="B106" s="88">
        <v>12148.23453818347</v>
      </c>
      <c r="C106" s="89">
        <v>20.0</v>
      </c>
      <c r="D106" s="89">
        <v>0.0</v>
      </c>
      <c r="E106" s="14"/>
      <c r="H106" s="90">
        <f t="shared" ref="H106:L106" si="60">if((median($A106,H$83,$A106+$C106))=H$83, SLN($B106,$D106,($C106)),0)</f>
        <v>0</v>
      </c>
      <c r="I106" s="90">
        <f t="shared" si="60"/>
        <v>0</v>
      </c>
      <c r="J106" s="90">
        <f t="shared" si="60"/>
        <v>607.4117269</v>
      </c>
      <c r="K106" s="90">
        <f t="shared" si="60"/>
        <v>607.4117269</v>
      </c>
      <c r="L106" s="90">
        <f t="shared" si="60"/>
        <v>607.4117269</v>
      </c>
    </row>
    <row r="107" ht="15.75" customHeight="1">
      <c r="A107" s="85">
        <v>2028.0</v>
      </c>
      <c r="B107" s="88">
        <v>15259.510778016891</v>
      </c>
      <c r="C107" s="89">
        <v>20.0</v>
      </c>
      <c r="D107" s="89">
        <v>0.0</v>
      </c>
      <c r="E107" s="14"/>
      <c r="H107" s="90">
        <f t="shared" ref="H107:L107" si="61">if((median($A107,H$83,$A107+$C107))=H$83, SLN($B107,$D107,($C107)),0)</f>
        <v>0</v>
      </c>
      <c r="I107" s="90">
        <f t="shared" si="61"/>
        <v>0</v>
      </c>
      <c r="J107" s="90">
        <f t="shared" si="61"/>
        <v>0</v>
      </c>
      <c r="K107" s="90">
        <f t="shared" si="61"/>
        <v>762.9755389</v>
      </c>
      <c r="L107" s="90">
        <f t="shared" si="61"/>
        <v>762.9755389</v>
      </c>
    </row>
    <row r="108" ht="15.75" customHeight="1">
      <c r="A108" s="85">
        <v>2029.0</v>
      </c>
      <c r="B108" s="88">
        <v>18649.934689232756</v>
      </c>
      <c r="C108" s="89">
        <v>20.0</v>
      </c>
      <c r="D108" s="89">
        <v>0.0</v>
      </c>
      <c r="E108" s="14"/>
      <c r="H108" s="90">
        <f t="shared" ref="H108:L108" si="62">if((median($A108,H$83,$A108+$C108))=H$83, SLN($B108,$D108,($C108)),0)</f>
        <v>0</v>
      </c>
      <c r="I108" s="90">
        <f t="shared" si="62"/>
        <v>0</v>
      </c>
      <c r="J108" s="90">
        <f t="shared" si="62"/>
        <v>0</v>
      </c>
      <c r="K108" s="90">
        <f t="shared" si="62"/>
        <v>0</v>
      </c>
      <c r="L108" s="90">
        <f t="shared" si="62"/>
        <v>932.4967345</v>
      </c>
    </row>
    <row r="109" ht="15.75" customHeight="1">
      <c r="B109" s="14"/>
      <c r="C109" s="14"/>
      <c r="D109" s="14"/>
      <c r="E109" s="14"/>
      <c r="F109" s="14"/>
      <c r="G109" s="14"/>
    </row>
    <row r="110" ht="15.75" customHeight="1">
      <c r="A110" s="3" t="s">
        <v>338</v>
      </c>
      <c r="B110" s="22">
        <v>0.0</v>
      </c>
      <c r="C110" s="22">
        <v>0.0</v>
      </c>
      <c r="D110" s="22">
        <v>0.0</v>
      </c>
      <c r="E110" s="22">
        <v>0.0</v>
      </c>
      <c r="F110" s="22">
        <v>0.0</v>
      </c>
      <c r="G110" s="39">
        <v>0.0</v>
      </c>
      <c r="H110" s="14">
        <f t="shared" ref="H110:L110" si="63">sum(H104:H108)</f>
        <v>357.0678978</v>
      </c>
      <c r="I110" s="14">
        <f t="shared" si="63"/>
        <v>821.0714718</v>
      </c>
      <c r="J110" s="14">
        <f t="shared" si="63"/>
        <v>1428.483199</v>
      </c>
      <c r="K110" s="14">
        <f t="shared" si="63"/>
        <v>2191.458738</v>
      </c>
      <c r="L110" s="14">
        <f t="shared" si="63"/>
        <v>3123.955472</v>
      </c>
    </row>
    <row r="111" ht="15.75" customHeight="1">
      <c r="A111" s="3" t="s">
        <v>339</v>
      </c>
      <c r="B111" s="14">
        <f t="shared" ref="B111:G111" si="64">B9</f>
        <v>583</v>
      </c>
      <c r="C111" s="14">
        <f t="shared" si="64"/>
        <v>487</v>
      </c>
      <c r="D111" s="14">
        <f t="shared" si="64"/>
        <v>1448</v>
      </c>
      <c r="E111" s="14">
        <f t="shared" si="64"/>
        <v>12902</v>
      </c>
      <c r="F111" s="14">
        <f t="shared" si="64"/>
        <v>16565</v>
      </c>
      <c r="G111" s="14">
        <f t="shared" si="64"/>
        <v>18416</v>
      </c>
      <c r="H111" s="14">
        <f t="shared" ref="H111:L111" si="65">G111</f>
        <v>18416</v>
      </c>
      <c r="I111" s="14">
        <f t="shared" si="65"/>
        <v>18416</v>
      </c>
      <c r="J111" s="14">
        <f t="shared" si="65"/>
        <v>18416</v>
      </c>
      <c r="K111" s="14">
        <f t="shared" si="65"/>
        <v>18416</v>
      </c>
      <c r="L111" s="14">
        <f t="shared" si="65"/>
        <v>18416</v>
      </c>
    </row>
    <row r="112" ht="15.75" customHeight="1">
      <c r="A112" s="1" t="s">
        <v>340</v>
      </c>
      <c r="B112" s="13">
        <f t="shared" ref="B112:L112" si="66">sum(B110:B111)</f>
        <v>583</v>
      </c>
      <c r="C112" s="13">
        <f t="shared" si="66"/>
        <v>487</v>
      </c>
      <c r="D112" s="13">
        <f t="shared" si="66"/>
        <v>1448</v>
      </c>
      <c r="E112" s="13">
        <f t="shared" si="66"/>
        <v>12902</v>
      </c>
      <c r="F112" s="13">
        <f t="shared" si="66"/>
        <v>16565</v>
      </c>
      <c r="G112" s="13">
        <f t="shared" si="66"/>
        <v>18416</v>
      </c>
      <c r="H112" s="13">
        <f t="shared" si="66"/>
        <v>18773.0679</v>
      </c>
      <c r="I112" s="13">
        <f t="shared" si="66"/>
        <v>19237.07147</v>
      </c>
      <c r="J112" s="13">
        <f t="shared" si="66"/>
        <v>19844.4832</v>
      </c>
      <c r="K112" s="13">
        <f t="shared" si="66"/>
        <v>20607.45874</v>
      </c>
      <c r="L112" s="13">
        <f t="shared" si="66"/>
        <v>21539.95547</v>
      </c>
    </row>
    <row r="113" ht="15.75" customHeight="1">
      <c r="B113" s="14"/>
      <c r="C113" s="14"/>
      <c r="D113" s="14"/>
      <c r="E113" s="14"/>
      <c r="F113" s="14"/>
      <c r="G113" s="14"/>
    </row>
    <row r="114" ht="15.75" customHeight="1">
      <c r="A114" s="1" t="s">
        <v>255</v>
      </c>
      <c r="B114" s="64">
        <v>2025.0</v>
      </c>
      <c r="C114" s="64">
        <v>2026.0</v>
      </c>
      <c r="D114" s="72">
        <v>2027.0</v>
      </c>
      <c r="E114" s="72">
        <v>2028.0</v>
      </c>
      <c r="F114" s="64">
        <v>2029.0</v>
      </c>
      <c r="G114" s="13" t="s">
        <v>123</v>
      </c>
    </row>
    <row r="115" ht="15.75" customHeight="1">
      <c r="A115" s="3" t="s">
        <v>341</v>
      </c>
      <c r="B115" s="14">
        <f>'Scratch Work'!$B$22*'Income Statement'!H6</f>
        <v>707691.7866</v>
      </c>
      <c r="C115" s="14">
        <f>'Scratch Work'!$B$22*'Income Statement'!I6</f>
        <v>919633.2694</v>
      </c>
      <c r="D115" s="14">
        <f>'Scratch Work'!$B$22*'Income Statement'!J6</f>
        <v>1203861.486</v>
      </c>
      <c r="E115" s="14">
        <f>'Scratch Work'!$B$22*'Income Statement'!K6</f>
        <v>1512181.648</v>
      </c>
      <c r="F115" s="14">
        <f>'Scratch Work'!$B$22*'Income Statement'!L6</f>
        <v>1848164.688</v>
      </c>
      <c r="G115" s="13">
        <v>1.0</v>
      </c>
    </row>
    <row r="116" ht="15.75" customHeight="1">
      <c r="A116" s="3" t="s">
        <v>125</v>
      </c>
      <c r="B116" s="14"/>
      <c r="C116" s="14"/>
      <c r="D116" s="14"/>
      <c r="E116" s="14"/>
      <c r="F116" s="14"/>
      <c r="G116" s="13">
        <v>2.0</v>
      </c>
    </row>
    <row r="117" ht="15.75" customHeight="1">
      <c r="A117" s="3" t="s">
        <v>126</v>
      </c>
      <c r="B117" s="14"/>
      <c r="C117" s="14"/>
      <c r="D117" s="14"/>
      <c r="E117" s="14"/>
      <c r="F117" s="14"/>
      <c r="G117" s="13">
        <v>3.0</v>
      </c>
    </row>
    <row r="118" ht="15.75" customHeight="1">
      <c r="A118" s="3" t="s">
        <v>127</v>
      </c>
      <c r="B118" s="14"/>
      <c r="C118" s="14"/>
      <c r="D118" s="14"/>
      <c r="E118" s="14"/>
      <c r="F118" s="14"/>
      <c r="G118" s="13">
        <v>4.0</v>
      </c>
    </row>
    <row r="119" ht="15.75" customHeight="1">
      <c r="A119" s="3" t="s">
        <v>128</v>
      </c>
      <c r="B119" s="14"/>
      <c r="C119" s="14"/>
      <c r="D119" s="14"/>
      <c r="E119" s="14"/>
      <c r="F119" s="14"/>
      <c r="G119" s="13">
        <v>5.0</v>
      </c>
    </row>
    <row r="120" ht="15.75" customHeight="1">
      <c r="A120" s="1" t="s">
        <v>342</v>
      </c>
      <c r="B120" s="13">
        <f t="shared" ref="B120:F120" si="67">IFS($C$3=$G115,B115,$C$3=$G116,B116,$C$3=$G117,B117,$C$3=$G118,B118,$C$3=$G119,B119)</f>
        <v>707691.7866</v>
      </c>
      <c r="C120" s="13">
        <f t="shared" si="67"/>
        <v>919633.2694</v>
      </c>
      <c r="D120" s="13">
        <f t="shared" si="67"/>
        <v>1203861.486</v>
      </c>
      <c r="E120" s="13">
        <f t="shared" si="67"/>
        <v>1512181.648</v>
      </c>
      <c r="F120" s="13">
        <f t="shared" si="67"/>
        <v>1848164.688</v>
      </c>
      <c r="G120" s="14"/>
    </row>
    <row r="121" ht="15.75" customHeight="1">
      <c r="B121" s="14"/>
      <c r="C121" s="14"/>
      <c r="D121" s="14"/>
      <c r="E121" s="14"/>
      <c r="F121" s="14"/>
      <c r="G121" s="14"/>
    </row>
    <row r="122" ht="15.75" customHeight="1">
      <c r="A122" s="1" t="s">
        <v>272</v>
      </c>
      <c r="B122" s="14"/>
      <c r="C122" s="14"/>
      <c r="D122" s="14"/>
      <c r="E122" s="14"/>
      <c r="F122" s="14"/>
      <c r="G122" s="14"/>
    </row>
    <row r="123" ht="15.75" customHeight="1">
      <c r="A123" s="85" t="s">
        <v>329</v>
      </c>
      <c r="B123" s="86" t="s">
        <v>336</v>
      </c>
      <c r="C123" s="86" t="s">
        <v>331</v>
      </c>
      <c r="D123" s="86" t="s">
        <v>332</v>
      </c>
      <c r="E123" s="14"/>
      <c r="H123" s="87">
        <v>2025.0</v>
      </c>
      <c r="I123" s="87">
        <v>2026.0</v>
      </c>
      <c r="J123" s="87">
        <v>2027.0</v>
      </c>
      <c r="K123" s="87">
        <v>2028.0</v>
      </c>
      <c r="L123" s="87">
        <v>2029.0</v>
      </c>
    </row>
    <row r="124" ht="15.75" customHeight="1">
      <c r="A124" s="85">
        <v>2025.0</v>
      </c>
      <c r="B124" s="88">
        <f t="array" ref="B124:B128">transpose(B120:F120)</f>
        <v>707691.7866</v>
      </c>
      <c r="C124" s="89">
        <v>4.0</v>
      </c>
      <c r="D124" s="89">
        <v>0.0</v>
      </c>
      <c r="E124" s="14"/>
      <c r="H124" s="90">
        <f t="shared" ref="H124:L124" si="68">if((median($A124,H$83,$A124+$C124))=H$83, SLN($B124,$D124,($C124)),0)</f>
        <v>176922.9467</v>
      </c>
      <c r="I124" s="90">
        <f t="shared" si="68"/>
        <v>176922.9467</v>
      </c>
      <c r="J124" s="90">
        <f t="shared" si="68"/>
        <v>176922.9467</v>
      </c>
      <c r="K124" s="90">
        <f t="shared" si="68"/>
        <v>176922.9467</v>
      </c>
      <c r="L124" s="90">
        <f t="shared" si="68"/>
        <v>176922.9467</v>
      </c>
    </row>
    <row r="125" ht="15.75" customHeight="1">
      <c r="A125" s="85">
        <v>2026.0</v>
      </c>
      <c r="B125" s="88">
        <v>919633.2693771089</v>
      </c>
      <c r="C125" s="89">
        <v>4.0</v>
      </c>
      <c r="D125" s="89">
        <v>0.0</v>
      </c>
      <c r="E125" s="14"/>
      <c r="H125" s="90">
        <f t="shared" ref="H125:L125" si="69">if((median($A125,H$83,$A125+$C125))=H$83, SLN($B125,$D125,($C125)),0)</f>
        <v>0</v>
      </c>
      <c r="I125" s="90">
        <f t="shared" si="69"/>
        <v>229908.3173</v>
      </c>
      <c r="J125" s="90">
        <f t="shared" si="69"/>
        <v>229908.3173</v>
      </c>
      <c r="K125" s="90">
        <f t="shared" si="69"/>
        <v>229908.3173</v>
      </c>
      <c r="L125" s="90">
        <f t="shared" si="69"/>
        <v>229908.3173</v>
      </c>
    </row>
    <row r="126" ht="15.75" customHeight="1">
      <c r="A126" s="85">
        <v>2027.0</v>
      </c>
      <c r="B126" s="88">
        <v>1203861.4864934075</v>
      </c>
      <c r="C126" s="89">
        <v>4.0</v>
      </c>
      <c r="D126" s="89">
        <v>0.0</v>
      </c>
      <c r="E126" s="14"/>
      <c r="H126" s="90">
        <f t="shared" ref="H126:L126" si="70">if((median($A126,H$83,$A126+$C126))=H$83, SLN($B126,$D126,($C126)),0)</f>
        <v>0</v>
      </c>
      <c r="I126" s="90">
        <f t="shared" si="70"/>
        <v>0</v>
      </c>
      <c r="J126" s="90">
        <f t="shared" si="70"/>
        <v>300965.3716</v>
      </c>
      <c r="K126" s="90">
        <f t="shared" si="70"/>
        <v>300965.3716</v>
      </c>
      <c r="L126" s="90">
        <f t="shared" si="70"/>
        <v>300965.3716</v>
      </c>
    </row>
    <row r="127" ht="15.75" customHeight="1">
      <c r="A127" s="85">
        <v>2028.0</v>
      </c>
      <c r="B127" s="88">
        <v>1512181.6483411847</v>
      </c>
      <c r="C127" s="89">
        <v>4.0</v>
      </c>
      <c r="D127" s="89">
        <v>0.0</v>
      </c>
      <c r="E127" s="14"/>
      <c r="H127" s="90">
        <f t="shared" ref="H127:L127" si="71">if((median($A127,H$83,$A127+$C127))=H$83, SLN($B127,$D127,($C127)),0)</f>
        <v>0</v>
      </c>
      <c r="I127" s="90">
        <f t="shared" si="71"/>
        <v>0</v>
      </c>
      <c r="J127" s="90">
        <f t="shared" si="71"/>
        <v>0</v>
      </c>
      <c r="K127" s="90">
        <f t="shared" si="71"/>
        <v>378045.4121</v>
      </c>
      <c r="L127" s="90">
        <f t="shared" si="71"/>
        <v>378045.4121</v>
      </c>
    </row>
    <row r="128" ht="15.75" customHeight="1">
      <c r="A128" s="85">
        <v>2029.0</v>
      </c>
      <c r="B128" s="88">
        <v>1848164.6882446478</v>
      </c>
      <c r="C128" s="89">
        <v>4.0</v>
      </c>
      <c r="D128" s="89">
        <v>0.0</v>
      </c>
      <c r="E128" s="14"/>
      <c r="H128" s="90">
        <f t="shared" ref="H128:L128" si="72">if((median($A128,H$83,$A128+$C128))=H$83, SLN($B128,$D128,($C128)),0)</f>
        <v>0</v>
      </c>
      <c r="I128" s="90">
        <f t="shared" si="72"/>
        <v>0</v>
      </c>
      <c r="J128" s="90">
        <f t="shared" si="72"/>
        <v>0</v>
      </c>
      <c r="K128" s="90">
        <f t="shared" si="72"/>
        <v>0</v>
      </c>
      <c r="L128" s="90">
        <f t="shared" si="72"/>
        <v>462041.1721</v>
      </c>
    </row>
    <row r="129" ht="15.75" customHeight="1">
      <c r="B129" s="14"/>
      <c r="C129" s="14"/>
      <c r="D129" s="14"/>
      <c r="E129" s="14"/>
      <c r="F129" s="14"/>
      <c r="G129" s="14"/>
    </row>
    <row r="130" ht="15.75" customHeight="1">
      <c r="A130" s="3" t="s">
        <v>338</v>
      </c>
      <c r="B130" s="22">
        <v>0.0</v>
      </c>
      <c r="C130" s="22">
        <v>0.0</v>
      </c>
      <c r="D130" s="22">
        <v>0.0</v>
      </c>
      <c r="E130" s="22">
        <v>0.0</v>
      </c>
      <c r="F130" s="22">
        <v>0.0</v>
      </c>
      <c r="G130" s="39">
        <v>0.0</v>
      </c>
      <c r="H130" s="14">
        <f t="shared" ref="H130:L130" si="73">sum(H124:H128)</f>
        <v>176922.9467</v>
      </c>
      <c r="I130" s="14">
        <f t="shared" si="73"/>
        <v>406831.264</v>
      </c>
      <c r="J130" s="14">
        <f t="shared" si="73"/>
        <v>707796.6356</v>
      </c>
      <c r="K130" s="14">
        <f t="shared" si="73"/>
        <v>1085842.048</v>
      </c>
      <c r="L130" s="14">
        <f t="shared" si="73"/>
        <v>1547883.22</v>
      </c>
    </row>
    <row r="131" ht="15.75" customHeight="1">
      <c r="A131" s="3" t="s">
        <v>339</v>
      </c>
      <c r="B131" s="14">
        <f t="shared" ref="B131:G131" si="74">B10</f>
        <v>28642</v>
      </c>
      <c r="C131" s="14">
        <f t="shared" si="74"/>
        <v>35459</v>
      </c>
      <c r="D131" s="14">
        <f t="shared" si="74"/>
        <v>66425</v>
      </c>
      <c r="E131" s="14">
        <f t="shared" si="74"/>
        <v>113884</v>
      </c>
      <c r="F131" s="14">
        <f t="shared" si="74"/>
        <v>170808</v>
      </c>
      <c r="G131" s="14">
        <f t="shared" si="74"/>
        <v>238901</v>
      </c>
      <c r="H131" s="14">
        <f t="shared" ref="H131:L131" si="75">G131</f>
        <v>238901</v>
      </c>
      <c r="I131" s="14">
        <f t="shared" si="75"/>
        <v>238901</v>
      </c>
      <c r="J131" s="14">
        <f t="shared" si="75"/>
        <v>238901</v>
      </c>
      <c r="K131" s="14">
        <f t="shared" si="75"/>
        <v>238901</v>
      </c>
      <c r="L131" s="14">
        <f t="shared" si="75"/>
        <v>238901</v>
      </c>
    </row>
    <row r="132" ht="15.75" customHeight="1">
      <c r="A132" s="1" t="s">
        <v>343</v>
      </c>
      <c r="B132" s="13">
        <f t="shared" ref="B132:L132" si="76">sum(B130:B131)</f>
        <v>28642</v>
      </c>
      <c r="C132" s="13">
        <f t="shared" si="76"/>
        <v>35459</v>
      </c>
      <c r="D132" s="13">
        <f t="shared" si="76"/>
        <v>66425</v>
      </c>
      <c r="E132" s="13">
        <f t="shared" si="76"/>
        <v>113884</v>
      </c>
      <c r="F132" s="13">
        <f t="shared" si="76"/>
        <v>170808</v>
      </c>
      <c r="G132" s="13">
        <f t="shared" si="76"/>
        <v>238901</v>
      </c>
      <c r="H132" s="13">
        <f t="shared" si="76"/>
        <v>415823.9467</v>
      </c>
      <c r="I132" s="13">
        <f t="shared" si="76"/>
        <v>645732.264</v>
      </c>
      <c r="J132" s="13">
        <f t="shared" si="76"/>
        <v>946697.6356</v>
      </c>
      <c r="K132" s="13">
        <f t="shared" si="76"/>
        <v>1324743.048</v>
      </c>
      <c r="L132" s="13">
        <f t="shared" si="76"/>
        <v>1786784.22</v>
      </c>
    </row>
    <row r="133" ht="15.75" customHeight="1">
      <c r="B133" s="14"/>
      <c r="C133" s="14"/>
      <c r="D133" s="14"/>
      <c r="E133" s="14"/>
      <c r="F133" s="14"/>
      <c r="G133" s="14"/>
    </row>
    <row r="134" ht="15.75" customHeight="1">
      <c r="B134" s="14"/>
      <c r="C134" s="14"/>
      <c r="D134" s="14"/>
      <c r="E134" s="14"/>
      <c r="F134" s="14"/>
      <c r="G134" s="14"/>
    </row>
    <row r="135" ht="15.75" customHeight="1">
      <c r="B135" s="14"/>
      <c r="C135" s="14"/>
      <c r="D135" s="14"/>
      <c r="E135" s="14"/>
      <c r="F135" s="14"/>
      <c r="G135" s="14"/>
    </row>
    <row r="136" ht="15.75" customHeight="1">
      <c r="B136" s="14"/>
      <c r="C136" s="14"/>
      <c r="D136" s="14"/>
      <c r="E136" s="14"/>
      <c r="F136" s="14"/>
      <c r="G136" s="14"/>
    </row>
    <row r="137" ht="15.75" customHeight="1">
      <c r="B137" s="14"/>
      <c r="C137" s="14"/>
      <c r="D137" s="14"/>
      <c r="E137" s="14"/>
      <c r="F137" s="14"/>
      <c r="G137" s="14"/>
    </row>
    <row r="138" ht="15.75" customHeight="1">
      <c r="B138" s="14"/>
      <c r="C138" s="14"/>
      <c r="D138" s="14"/>
      <c r="E138" s="14"/>
      <c r="F138" s="14"/>
      <c r="G138" s="14"/>
    </row>
    <row r="139" ht="15.75" customHeight="1">
      <c r="B139" s="14"/>
      <c r="C139" s="14"/>
      <c r="D139" s="14"/>
      <c r="E139" s="14"/>
      <c r="F139" s="14"/>
      <c r="G139" s="14"/>
    </row>
    <row r="140" ht="15.75" customHeight="1">
      <c r="B140" s="14"/>
      <c r="C140" s="14"/>
      <c r="D140" s="14"/>
      <c r="E140" s="14"/>
      <c r="F140" s="14"/>
      <c r="G140" s="14"/>
    </row>
    <row r="141" ht="15.75" customHeight="1">
      <c r="B141" s="14"/>
      <c r="C141" s="14"/>
      <c r="D141" s="14"/>
      <c r="E141" s="14"/>
      <c r="F141" s="14"/>
      <c r="G141" s="14"/>
    </row>
    <row r="142" ht="15.75" customHeight="1">
      <c r="B142" s="14"/>
      <c r="C142" s="14"/>
      <c r="D142" s="14"/>
      <c r="E142" s="14"/>
      <c r="F142" s="14"/>
      <c r="G142" s="14"/>
    </row>
    <row r="143" ht="15.75" customHeight="1">
      <c r="B143" s="14"/>
      <c r="C143" s="14"/>
      <c r="D143" s="14"/>
      <c r="E143" s="14"/>
      <c r="F143" s="14"/>
      <c r="G143" s="14"/>
    </row>
    <row r="144" ht="15.75" customHeight="1">
      <c r="B144" s="14"/>
      <c r="C144" s="14"/>
      <c r="D144" s="14"/>
      <c r="E144" s="14"/>
      <c r="F144" s="14"/>
      <c r="G144" s="14"/>
    </row>
    <row r="145" ht="15.75" customHeight="1">
      <c r="B145" s="14"/>
      <c r="C145" s="14"/>
      <c r="D145" s="14"/>
      <c r="E145" s="14"/>
      <c r="F145" s="14"/>
      <c r="G145" s="14"/>
    </row>
    <row r="146" ht="15.75" customHeight="1">
      <c r="B146" s="14"/>
      <c r="C146" s="14"/>
      <c r="D146" s="14"/>
      <c r="E146" s="14"/>
      <c r="F146" s="14"/>
      <c r="G146" s="14"/>
    </row>
    <row r="147" ht="15.75" customHeight="1">
      <c r="B147" s="14"/>
      <c r="C147" s="14"/>
      <c r="D147" s="14"/>
      <c r="E147" s="14"/>
      <c r="F147" s="14"/>
      <c r="G147" s="14"/>
    </row>
    <row r="148" ht="15.75" customHeight="1">
      <c r="B148" s="14"/>
      <c r="C148" s="14"/>
      <c r="D148" s="14"/>
      <c r="E148" s="14"/>
      <c r="F148" s="14"/>
      <c r="G148" s="14"/>
    </row>
    <row r="149" ht="15.75" customHeight="1">
      <c r="B149" s="14"/>
      <c r="C149" s="14"/>
      <c r="D149" s="14"/>
      <c r="E149" s="14"/>
      <c r="F149" s="14"/>
      <c r="G149" s="14"/>
    </row>
    <row r="150" ht="15.75" customHeight="1">
      <c r="B150" s="14"/>
      <c r="C150" s="14"/>
      <c r="D150" s="14"/>
      <c r="E150" s="14"/>
      <c r="F150" s="14"/>
      <c r="G150" s="14"/>
    </row>
    <row r="151" ht="15.75" customHeight="1">
      <c r="B151" s="14"/>
      <c r="C151" s="14"/>
      <c r="D151" s="14"/>
      <c r="E151" s="14"/>
      <c r="F151" s="14"/>
      <c r="G151" s="14"/>
    </row>
    <row r="152" ht="15.75" customHeight="1">
      <c r="B152" s="14"/>
      <c r="C152" s="14"/>
      <c r="D152" s="14"/>
      <c r="E152" s="14"/>
      <c r="F152" s="14"/>
      <c r="G152" s="14"/>
    </row>
    <row r="153" ht="15.75" customHeight="1">
      <c r="B153" s="14"/>
      <c r="C153" s="14"/>
      <c r="D153" s="14"/>
      <c r="E153" s="14"/>
      <c r="F153" s="14"/>
      <c r="G153" s="14"/>
    </row>
    <row r="154" ht="15.75" customHeight="1">
      <c r="B154" s="14"/>
      <c r="C154" s="14"/>
      <c r="D154" s="14"/>
      <c r="E154" s="14"/>
      <c r="F154" s="14"/>
      <c r="G154" s="14"/>
    </row>
    <row r="155" ht="15.75" customHeight="1">
      <c r="B155" s="14"/>
      <c r="C155" s="14"/>
      <c r="D155" s="14"/>
      <c r="E155" s="14"/>
      <c r="F155" s="14"/>
      <c r="G155" s="14"/>
    </row>
    <row r="156" ht="15.75" customHeight="1">
      <c r="B156" s="14"/>
      <c r="C156" s="14"/>
      <c r="D156" s="14"/>
      <c r="E156" s="14"/>
      <c r="F156" s="14"/>
      <c r="G156" s="14"/>
    </row>
    <row r="157" ht="15.75" customHeight="1">
      <c r="B157" s="14"/>
      <c r="C157" s="14"/>
      <c r="D157" s="14"/>
      <c r="E157" s="14"/>
      <c r="F157" s="14"/>
      <c r="G157" s="14"/>
    </row>
    <row r="158" ht="15.75" customHeight="1">
      <c r="B158" s="14"/>
      <c r="C158" s="14"/>
      <c r="D158" s="14"/>
      <c r="E158" s="14"/>
      <c r="F158" s="14"/>
      <c r="G158" s="14"/>
    </row>
    <row r="159" ht="15.75" customHeight="1">
      <c r="B159" s="14"/>
      <c r="C159" s="14"/>
      <c r="D159" s="14"/>
      <c r="E159" s="14"/>
      <c r="F159" s="14"/>
      <c r="G159" s="14"/>
    </row>
    <row r="160" ht="15.75" customHeight="1">
      <c r="B160" s="14"/>
      <c r="C160" s="14"/>
      <c r="D160" s="14"/>
      <c r="E160" s="14"/>
      <c r="F160" s="14"/>
      <c r="G160" s="14"/>
    </row>
    <row r="161" ht="15.75" customHeight="1">
      <c r="B161" s="14"/>
      <c r="C161" s="14"/>
      <c r="D161" s="14"/>
      <c r="E161" s="14"/>
      <c r="F161" s="14"/>
      <c r="G161" s="14"/>
    </row>
    <row r="162" ht="15.75" customHeight="1">
      <c r="B162" s="14"/>
      <c r="C162" s="14"/>
      <c r="D162" s="14"/>
      <c r="E162" s="14"/>
      <c r="F162" s="14"/>
      <c r="G162" s="14"/>
    </row>
    <row r="163" ht="15.75" customHeight="1">
      <c r="B163" s="14"/>
      <c r="C163" s="14"/>
      <c r="D163" s="14"/>
      <c r="E163" s="14"/>
      <c r="F163" s="14"/>
      <c r="G163" s="14"/>
    </row>
    <row r="164" ht="15.75" customHeight="1">
      <c r="B164" s="14"/>
      <c r="C164" s="14"/>
      <c r="D164" s="14"/>
      <c r="E164" s="14"/>
      <c r="F164" s="14"/>
      <c r="G164" s="14"/>
    </row>
    <row r="165" ht="15.75" customHeight="1">
      <c r="B165" s="14"/>
      <c r="C165" s="14"/>
      <c r="D165" s="14"/>
      <c r="E165" s="14"/>
      <c r="F165" s="14"/>
      <c r="G165" s="14"/>
    </row>
    <row r="166" ht="15.75" customHeight="1">
      <c r="B166" s="14"/>
      <c r="C166" s="14"/>
      <c r="D166" s="14"/>
      <c r="E166" s="14"/>
      <c r="F166" s="14"/>
      <c r="G166" s="14"/>
    </row>
    <row r="167" ht="15.75" customHeight="1">
      <c r="B167" s="14"/>
      <c r="C167" s="14"/>
      <c r="D167" s="14"/>
      <c r="E167" s="14"/>
      <c r="F167" s="14"/>
      <c r="G167" s="14"/>
    </row>
    <row r="168" ht="15.75" customHeight="1">
      <c r="B168" s="14"/>
      <c r="C168" s="14"/>
      <c r="D168" s="14"/>
      <c r="E168" s="14"/>
      <c r="F168" s="14"/>
      <c r="G168" s="14"/>
    </row>
    <row r="169" ht="15.75" customHeight="1">
      <c r="B169" s="14"/>
      <c r="C169" s="14"/>
      <c r="D169" s="14"/>
      <c r="E169" s="14"/>
      <c r="F169" s="14"/>
      <c r="G169" s="14"/>
    </row>
    <row r="170" ht="15.75" customHeight="1">
      <c r="B170" s="14"/>
      <c r="C170" s="14"/>
      <c r="D170" s="14"/>
      <c r="E170" s="14"/>
      <c r="F170" s="14"/>
      <c r="G170" s="14"/>
    </row>
    <row r="171" ht="15.75" customHeight="1">
      <c r="B171" s="14"/>
      <c r="C171" s="14"/>
      <c r="D171" s="14"/>
      <c r="E171" s="14"/>
      <c r="F171" s="14"/>
      <c r="G171" s="14"/>
    </row>
    <row r="172" ht="15.75" customHeight="1">
      <c r="B172" s="14"/>
      <c r="C172" s="14"/>
      <c r="D172" s="14"/>
      <c r="E172" s="14"/>
      <c r="F172" s="14"/>
      <c r="G172" s="14"/>
    </row>
    <row r="173" ht="15.75" customHeight="1">
      <c r="B173" s="14"/>
      <c r="C173" s="14"/>
      <c r="D173" s="14"/>
      <c r="E173" s="14"/>
      <c r="F173" s="14"/>
      <c r="G173" s="14"/>
    </row>
    <row r="174" ht="15.75" customHeight="1">
      <c r="B174" s="14"/>
      <c r="C174" s="14"/>
      <c r="D174" s="14"/>
      <c r="E174" s="14"/>
      <c r="F174" s="14"/>
      <c r="G174" s="14"/>
    </row>
    <row r="175" ht="15.75" customHeight="1">
      <c r="B175" s="14"/>
      <c r="C175" s="14"/>
      <c r="D175" s="14"/>
      <c r="E175" s="14"/>
      <c r="F175" s="14"/>
      <c r="G175" s="14"/>
    </row>
    <row r="176" ht="15.75" customHeight="1">
      <c r="B176" s="14"/>
      <c r="C176" s="14"/>
      <c r="D176" s="14"/>
      <c r="E176" s="14"/>
      <c r="F176" s="14"/>
      <c r="G176" s="14"/>
    </row>
    <row r="177" ht="15.75" customHeight="1">
      <c r="B177" s="14"/>
      <c r="C177" s="14"/>
      <c r="D177" s="14"/>
      <c r="E177" s="14"/>
      <c r="F177" s="14"/>
      <c r="G177" s="14"/>
    </row>
    <row r="178" ht="15.75" customHeight="1">
      <c r="B178" s="14"/>
      <c r="C178" s="14"/>
      <c r="D178" s="14"/>
      <c r="E178" s="14"/>
      <c r="F178" s="14"/>
      <c r="G178" s="14"/>
    </row>
    <row r="179" ht="15.75" customHeight="1">
      <c r="B179" s="14"/>
      <c r="C179" s="14"/>
      <c r="D179" s="14"/>
      <c r="E179" s="14"/>
      <c r="F179" s="14"/>
      <c r="G179" s="14"/>
    </row>
    <row r="180" ht="15.75" customHeight="1">
      <c r="B180" s="14"/>
      <c r="C180" s="14"/>
      <c r="D180" s="14"/>
      <c r="E180" s="14"/>
      <c r="F180" s="14"/>
      <c r="G180" s="14"/>
    </row>
    <row r="181" ht="15.75" customHeight="1">
      <c r="B181" s="14"/>
      <c r="C181" s="14"/>
      <c r="D181" s="14"/>
      <c r="E181" s="14"/>
      <c r="F181" s="14"/>
      <c r="G181" s="14"/>
    </row>
    <row r="182" ht="15.75" customHeight="1">
      <c r="B182" s="14"/>
      <c r="C182" s="14"/>
      <c r="D182" s="14"/>
      <c r="E182" s="14"/>
      <c r="F182" s="14"/>
      <c r="G182" s="14"/>
    </row>
    <row r="183" ht="15.75" customHeight="1">
      <c r="B183" s="14"/>
      <c r="C183" s="14"/>
      <c r="D183" s="14"/>
      <c r="E183" s="14"/>
      <c r="F183" s="14"/>
      <c r="G183" s="14"/>
    </row>
    <row r="184" ht="15.75" customHeight="1">
      <c r="B184" s="14"/>
      <c r="C184" s="14"/>
      <c r="D184" s="14"/>
      <c r="E184" s="14"/>
      <c r="F184" s="14"/>
      <c r="G184" s="14"/>
    </row>
    <row r="185" ht="15.75" customHeight="1">
      <c r="B185" s="14"/>
      <c r="C185" s="14"/>
      <c r="D185" s="14"/>
      <c r="E185" s="14"/>
      <c r="F185" s="14"/>
      <c r="G185" s="14"/>
    </row>
    <row r="186" ht="15.75" customHeight="1">
      <c r="B186" s="14"/>
      <c r="C186" s="14"/>
      <c r="D186" s="14"/>
      <c r="E186" s="14"/>
      <c r="F186" s="14"/>
      <c r="G186" s="14"/>
    </row>
    <row r="187" ht="15.75" customHeight="1">
      <c r="B187" s="14"/>
      <c r="C187" s="14"/>
      <c r="D187" s="14"/>
      <c r="E187" s="14"/>
      <c r="F187" s="14"/>
      <c r="G187" s="14"/>
    </row>
    <row r="188" ht="15.75" customHeight="1">
      <c r="B188" s="14"/>
      <c r="C188" s="14"/>
      <c r="D188" s="14"/>
      <c r="E188" s="14"/>
      <c r="F188" s="14"/>
      <c r="G188" s="14"/>
    </row>
    <row r="189" ht="15.75" customHeight="1">
      <c r="B189" s="14"/>
      <c r="C189" s="14"/>
      <c r="D189" s="14"/>
      <c r="E189" s="14"/>
      <c r="F189" s="14"/>
      <c r="G189" s="14"/>
    </row>
    <row r="190" ht="15.75" customHeight="1">
      <c r="B190" s="14"/>
      <c r="C190" s="14"/>
      <c r="D190" s="14"/>
      <c r="E190" s="14"/>
      <c r="F190" s="14"/>
      <c r="G190" s="14"/>
    </row>
    <row r="191" ht="15.75" customHeight="1">
      <c r="B191" s="14"/>
      <c r="C191" s="14"/>
      <c r="D191" s="14"/>
      <c r="E191" s="14"/>
      <c r="F191" s="14"/>
      <c r="G191" s="14"/>
    </row>
    <row r="192" ht="15.75" customHeight="1">
      <c r="B192" s="14"/>
      <c r="C192" s="14"/>
      <c r="D192" s="14"/>
      <c r="E192" s="14"/>
      <c r="F192" s="14"/>
      <c r="G192" s="14"/>
    </row>
    <row r="193" ht="15.75" customHeight="1">
      <c r="B193" s="14"/>
      <c r="C193" s="14"/>
      <c r="D193" s="14"/>
      <c r="E193" s="14"/>
      <c r="F193" s="14"/>
      <c r="G193" s="14"/>
    </row>
    <row r="194" ht="15.75" customHeight="1">
      <c r="B194" s="14"/>
      <c r="C194" s="14"/>
      <c r="D194" s="14"/>
      <c r="E194" s="14"/>
      <c r="F194" s="14"/>
      <c r="G194" s="14"/>
    </row>
    <row r="195" ht="15.75" customHeight="1">
      <c r="B195" s="14"/>
      <c r="C195" s="14"/>
      <c r="D195" s="14"/>
      <c r="E195" s="14"/>
      <c r="F195" s="14"/>
      <c r="G195" s="14"/>
    </row>
    <row r="196" ht="15.75" customHeight="1">
      <c r="B196" s="14"/>
      <c r="C196" s="14"/>
      <c r="D196" s="14"/>
      <c r="E196" s="14"/>
      <c r="F196" s="14"/>
      <c r="G196" s="14"/>
    </row>
    <row r="197" ht="15.75" customHeight="1">
      <c r="B197" s="14"/>
      <c r="C197" s="14"/>
      <c r="D197" s="14"/>
      <c r="E197" s="14"/>
      <c r="F197" s="14"/>
      <c r="G197" s="14"/>
    </row>
    <row r="198" ht="15.75" customHeight="1">
      <c r="B198" s="14"/>
      <c r="C198" s="14"/>
      <c r="D198" s="14"/>
      <c r="E198" s="14"/>
      <c r="F198" s="14"/>
      <c r="G198" s="14"/>
    </row>
    <row r="199" ht="15.75" customHeight="1">
      <c r="B199" s="14"/>
      <c r="C199" s="14"/>
      <c r="D199" s="14"/>
      <c r="E199" s="14"/>
      <c r="F199" s="14"/>
      <c r="G199" s="14"/>
    </row>
    <row r="200" ht="15.75" customHeight="1">
      <c r="B200" s="14"/>
      <c r="C200" s="14"/>
      <c r="D200" s="14"/>
      <c r="E200" s="14"/>
      <c r="F200" s="14"/>
      <c r="G200" s="14"/>
    </row>
    <row r="201" ht="15.75" customHeight="1">
      <c r="B201" s="14"/>
      <c r="C201" s="14"/>
      <c r="D201" s="14"/>
      <c r="E201" s="14"/>
      <c r="F201" s="14"/>
      <c r="G201" s="14"/>
    </row>
    <row r="202" ht="15.75" customHeight="1">
      <c r="B202" s="14"/>
      <c r="C202" s="14"/>
      <c r="D202" s="14"/>
      <c r="E202" s="14"/>
      <c r="F202" s="14"/>
      <c r="G202" s="14"/>
    </row>
    <row r="203" ht="15.75" customHeight="1">
      <c r="B203" s="14"/>
      <c r="C203" s="14"/>
      <c r="D203" s="14"/>
      <c r="E203" s="14"/>
      <c r="F203" s="14"/>
      <c r="G203" s="14"/>
    </row>
    <row r="204" ht="15.75" customHeight="1">
      <c r="B204" s="14"/>
      <c r="C204" s="14"/>
      <c r="D204" s="14"/>
      <c r="E204" s="14"/>
      <c r="F204" s="14"/>
      <c r="G204" s="14"/>
    </row>
    <row r="205" ht="15.75" customHeight="1">
      <c r="B205" s="14"/>
      <c r="C205" s="14"/>
      <c r="D205" s="14"/>
      <c r="E205" s="14"/>
      <c r="F205" s="14"/>
      <c r="G205" s="14"/>
    </row>
    <row r="206" ht="15.75" customHeight="1">
      <c r="B206" s="14"/>
      <c r="C206" s="14"/>
      <c r="D206" s="14"/>
      <c r="E206" s="14"/>
      <c r="F206" s="14"/>
      <c r="G206" s="14"/>
    </row>
    <row r="207" ht="15.75" customHeight="1">
      <c r="B207" s="14"/>
      <c r="C207" s="14"/>
      <c r="D207" s="14"/>
      <c r="E207" s="14"/>
      <c r="F207" s="14"/>
      <c r="G207" s="14"/>
    </row>
    <row r="208" ht="15.75" customHeight="1">
      <c r="B208" s="14"/>
      <c r="C208" s="14"/>
      <c r="D208" s="14"/>
      <c r="E208" s="14"/>
      <c r="F208" s="14"/>
      <c r="G208" s="14"/>
    </row>
    <row r="209" ht="15.75" customHeight="1">
      <c r="B209" s="14"/>
      <c r="C209" s="14"/>
      <c r="D209" s="14"/>
      <c r="E209" s="14"/>
      <c r="F209" s="14"/>
      <c r="G209" s="14"/>
    </row>
    <row r="210" ht="15.75" customHeight="1">
      <c r="B210" s="14"/>
      <c r="C210" s="14"/>
      <c r="D210" s="14"/>
      <c r="E210" s="14"/>
      <c r="F210" s="14"/>
      <c r="G210" s="14"/>
    </row>
    <row r="211" ht="15.75" customHeight="1">
      <c r="B211" s="14"/>
      <c r="C211" s="14"/>
      <c r="D211" s="14"/>
      <c r="E211" s="14"/>
      <c r="F211" s="14"/>
      <c r="G211" s="14"/>
    </row>
    <row r="212" ht="15.75" customHeight="1">
      <c r="B212" s="14"/>
      <c r="C212" s="14"/>
      <c r="D212" s="14"/>
      <c r="E212" s="14"/>
      <c r="F212" s="14"/>
      <c r="G212" s="14"/>
    </row>
    <row r="213" ht="15.75" customHeight="1">
      <c r="B213" s="14"/>
      <c r="C213" s="14"/>
      <c r="D213" s="14"/>
      <c r="E213" s="14"/>
      <c r="F213" s="14"/>
      <c r="G213" s="14"/>
    </row>
    <row r="214" ht="15.75" customHeight="1">
      <c r="B214" s="14"/>
      <c r="C214" s="14"/>
      <c r="D214" s="14"/>
      <c r="E214" s="14"/>
      <c r="F214" s="14"/>
      <c r="G214" s="14"/>
    </row>
    <row r="215" ht="15.75" customHeight="1">
      <c r="B215" s="14"/>
      <c r="C215" s="14"/>
      <c r="D215" s="14"/>
      <c r="E215" s="14"/>
      <c r="F215" s="14"/>
      <c r="G215" s="14"/>
    </row>
    <row r="216" ht="15.75" customHeight="1">
      <c r="B216" s="14"/>
      <c r="C216" s="14"/>
      <c r="D216" s="14"/>
      <c r="E216" s="14"/>
      <c r="F216" s="14"/>
      <c r="G216" s="14"/>
    </row>
    <row r="217" ht="15.75" customHeight="1">
      <c r="B217" s="14"/>
      <c r="C217" s="14"/>
      <c r="D217" s="14"/>
      <c r="E217" s="14"/>
      <c r="F217" s="14"/>
      <c r="G217" s="14"/>
    </row>
    <row r="218" ht="15.75" customHeight="1">
      <c r="B218" s="14"/>
      <c r="C218" s="14"/>
      <c r="D218" s="14"/>
      <c r="E218" s="14"/>
      <c r="F218" s="14"/>
      <c r="G218" s="14"/>
    </row>
    <row r="219" ht="15.75" customHeight="1">
      <c r="B219" s="14"/>
      <c r="C219" s="14"/>
      <c r="D219" s="14"/>
      <c r="E219" s="14"/>
      <c r="F219" s="14"/>
      <c r="G219" s="14"/>
    </row>
    <row r="220" ht="15.75" customHeight="1">
      <c r="B220" s="14"/>
      <c r="C220" s="14"/>
      <c r="D220" s="14"/>
      <c r="E220" s="14"/>
      <c r="F220" s="14"/>
      <c r="G220" s="14"/>
    </row>
    <row r="221" ht="15.75" customHeight="1">
      <c r="B221" s="14"/>
      <c r="C221" s="14"/>
      <c r="D221" s="14"/>
      <c r="E221" s="14"/>
      <c r="F221" s="14"/>
      <c r="G221" s="14"/>
    </row>
    <row r="222" ht="15.75" customHeight="1">
      <c r="B222" s="14"/>
      <c r="C222" s="14"/>
      <c r="D222" s="14"/>
      <c r="E222" s="14"/>
      <c r="F222" s="14"/>
      <c r="G222" s="14"/>
    </row>
    <row r="223" ht="15.75" customHeight="1">
      <c r="B223" s="14"/>
      <c r="C223" s="14"/>
      <c r="D223" s="14"/>
      <c r="E223" s="14"/>
      <c r="F223" s="14"/>
      <c r="G223" s="14"/>
    </row>
    <row r="224" ht="15.75" customHeight="1">
      <c r="B224" s="14"/>
      <c r="C224" s="14"/>
      <c r="D224" s="14"/>
      <c r="E224" s="14"/>
      <c r="F224" s="14"/>
      <c r="G224" s="14"/>
    </row>
    <row r="225" ht="15.75" customHeight="1">
      <c r="B225" s="14"/>
      <c r="C225" s="14"/>
      <c r="D225" s="14"/>
      <c r="E225" s="14"/>
      <c r="F225" s="14"/>
      <c r="G225" s="14"/>
    </row>
    <row r="226" ht="15.75" customHeight="1">
      <c r="B226" s="14"/>
      <c r="C226" s="14"/>
      <c r="D226" s="14"/>
      <c r="E226" s="14"/>
      <c r="F226" s="14"/>
      <c r="G226" s="14"/>
    </row>
    <row r="227" ht="15.75" customHeight="1">
      <c r="B227" s="14"/>
      <c r="C227" s="14"/>
      <c r="D227" s="14"/>
      <c r="E227" s="14"/>
      <c r="F227" s="14"/>
      <c r="G227" s="14"/>
    </row>
    <row r="228" ht="15.75" customHeight="1">
      <c r="B228" s="14"/>
      <c r="C228" s="14"/>
      <c r="D228" s="14"/>
      <c r="E228" s="14"/>
      <c r="F228" s="14"/>
      <c r="G228" s="14"/>
    </row>
    <row r="229" ht="15.75" customHeight="1">
      <c r="B229" s="14"/>
      <c r="C229" s="14"/>
      <c r="D229" s="14"/>
      <c r="E229" s="14"/>
      <c r="F229" s="14"/>
      <c r="G229" s="14"/>
    </row>
    <row r="230" ht="15.75" customHeight="1">
      <c r="B230" s="14"/>
      <c r="C230" s="14"/>
      <c r="D230" s="14"/>
      <c r="E230" s="14"/>
      <c r="F230" s="14"/>
      <c r="G230" s="14"/>
    </row>
    <row r="231" ht="15.75" customHeight="1">
      <c r="B231" s="14"/>
      <c r="C231" s="14"/>
      <c r="D231" s="14"/>
      <c r="E231" s="14"/>
      <c r="F231" s="14"/>
      <c r="G231" s="14"/>
    </row>
    <row r="232" ht="15.75" customHeight="1">
      <c r="B232" s="14"/>
      <c r="C232" s="14"/>
      <c r="D232" s="14"/>
      <c r="E232" s="14"/>
      <c r="F232" s="14"/>
      <c r="G232" s="14"/>
    </row>
    <row r="233" ht="15.75" customHeight="1">
      <c r="B233" s="14"/>
      <c r="C233" s="14"/>
      <c r="D233" s="14"/>
      <c r="E233" s="14"/>
      <c r="F233" s="14"/>
      <c r="G233" s="14"/>
    </row>
    <row r="234" ht="15.75" customHeight="1">
      <c r="B234" s="14"/>
      <c r="C234" s="14"/>
      <c r="D234" s="14"/>
      <c r="E234" s="14"/>
      <c r="F234" s="14"/>
      <c r="G234" s="14"/>
    </row>
    <row r="235" ht="15.75" customHeight="1">
      <c r="B235" s="14"/>
      <c r="C235" s="14"/>
      <c r="D235" s="14"/>
      <c r="E235" s="14"/>
      <c r="F235" s="14"/>
      <c r="G235" s="14"/>
    </row>
    <row r="236" ht="15.75" customHeight="1">
      <c r="B236" s="14"/>
      <c r="C236" s="14"/>
      <c r="D236" s="14"/>
      <c r="E236" s="14"/>
      <c r="F236" s="14"/>
      <c r="G236" s="14"/>
    </row>
    <row r="237" ht="15.75" customHeight="1">
      <c r="B237" s="14"/>
      <c r="C237" s="14"/>
      <c r="D237" s="14"/>
      <c r="E237" s="14"/>
      <c r="F237" s="14"/>
      <c r="G237" s="14"/>
    </row>
    <row r="238" ht="15.75" customHeight="1">
      <c r="B238" s="14"/>
      <c r="C238" s="14"/>
      <c r="D238" s="14"/>
      <c r="E238" s="14"/>
      <c r="F238" s="14"/>
      <c r="G238" s="14"/>
    </row>
    <row r="239" ht="15.75" customHeight="1">
      <c r="B239" s="14"/>
      <c r="C239" s="14"/>
      <c r="D239" s="14"/>
      <c r="E239" s="14"/>
      <c r="F239" s="14"/>
      <c r="G239" s="14"/>
    </row>
    <row r="240" ht="15.75" customHeight="1">
      <c r="B240" s="14"/>
      <c r="C240" s="14"/>
      <c r="D240" s="14"/>
      <c r="E240" s="14"/>
      <c r="F240" s="14"/>
      <c r="G240" s="14"/>
    </row>
    <row r="241" ht="15.75" customHeight="1">
      <c r="B241" s="14"/>
      <c r="C241" s="14"/>
      <c r="D241" s="14"/>
      <c r="E241" s="14"/>
      <c r="F241" s="14"/>
      <c r="G241" s="14"/>
    </row>
    <row r="242" ht="15.75" customHeight="1">
      <c r="B242" s="14"/>
      <c r="C242" s="14"/>
      <c r="D242" s="14"/>
      <c r="E242" s="14"/>
      <c r="F242" s="14"/>
      <c r="G242" s="14"/>
    </row>
    <row r="243" ht="15.75" customHeight="1">
      <c r="B243" s="14"/>
      <c r="C243" s="14"/>
      <c r="D243" s="14"/>
      <c r="E243" s="14"/>
      <c r="F243" s="14"/>
      <c r="G243" s="14"/>
    </row>
    <row r="244" ht="15.75" customHeight="1">
      <c r="B244" s="14"/>
      <c r="C244" s="14"/>
      <c r="D244" s="14"/>
      <c r="E244" s="14"/>
      <c r="F244" s="14"/>
      <c r="G244" s="14"/>
    </row>
    <row r="245" ht="15.75" customHeight="1">
      <c r="B245" s="14"/>
      <c r="C245" s="14"/>
      <c r="D245" s="14"/>
      <c r="E245" s="14"/>
      <c r="F245" s="14"/>
      <c r="G245" s="14"/>
    </row>
    <row r="246" ht="15.75" customHeight="1">
      <c r="B246" s="14"/>
      <c r="C246" s="14"/>
      <c r="D246" s="14"/>
      <c r="E246" s="14"/>
      <c r="F246" s="14"/>
      <c r="G246" s="14"/>
    </row>
    <row r="247" ht="15.75" customHeight="1">
      <c r="B247" s="14"/>
      <c r="C247" s="14"/>
      <c r="D247" s="14"/>
      <c r="E247" s="14"/>
      <c r="F247" s="14"/>
      <c r="G247" s="14"/>
    </row>
    <row r="248" ht="15.75" customHeight="1">
      <c r="B248" s="14"/>
      <c r="C248" s="14"/>
      <c r="D248" s="14"/>
      <c r="E248" s="14"/>
      <c r="F248" s="14"/>
      <c r="G248" s="14"/>
    </row>
    <row r="249" ht="15.75" customHeight="1">
      <c r="B249" s="14"/>
      <c r="C249" s="14"/>
      <c r="D249" s="14"/>
      <c r="E249" s="14"/>
      <c r="F249" s="14"/>
      <c r="G249" s="14"/>
    </row>
    <row r="250" ht="15.75" customHeight="1">
      <c r="B250" s="14"/>
      <c r="C250" s="14"/>
      <c r="D250" s="14"/>
      <c r="E250" s="14"/>
      <c r="F250" s="14"/>
      <c r="G250" s="14"/>
    </row>
    <row r="251" ht="15.75" customHeight="1">
      <c r="B251" s="14"/>
      <c r="C251" s="14"/>
      <c r="D251" s="14"/>
      <c r="E251" s="14"/>
      <c r="F251" s="14"/>
      <c r="G251" s="14"/>
    </row>
    <row r="252" ht="15.75" customHeight="1">
      <c r="B252" s="14"/>
      <c r="C252" s="14"/>
      <c r="D252" s="14"/>
      <c r="E252" s="14"/>
      <c r="F252" s="14"/>
      <c r="G252" s="14"/>
    </row>
    <row r="253" ht="15.75" customHeight="1">
      <c r="B253" s="14"/>
      <c r="C253" s="14"/>
      <c r="D253" s="14"/>
      <c r="E253" s="14"/>
      <c r="F253" s="14"/>
      <c r="G253" s="14"/>
    </row>
    <row r="254" ht="15.75" customHeight="1">
      <c r="B254" s="14"/>
      <c r="C254" s="14"/>
      <c r="D254" s="14"/>
      <c r="E254" s="14"/>
      <c r="F254" s="14"/>
      <c r="G254" s="14"/>
    </row>
    <row r="255" ht="15.75" customHeight="1">
      <c r="B255" s="14"/>
      <c r="C255" s="14"/>
      <c r="D255" s="14"/>
      <c r="E255" s="14"/>
      <c r="F255" s="14"/>
      <c r="G255" s="14"/>
    </row>
    <row r="256" ht="15.75" customHeight="1">
      <c r="B256" s="14"/>
      <c r="C256" s="14"/>
      <c r="D256" s="14"/>
      <c r="E256" s="14"/>
      <c r="F256" s="14"/>
      <c r="G256" s="14"/>
    </row>
    <row r="257" ht="15.75" customHeight="1">
      <c r="B257" s="14"/>
      <c r="C257" s="14"/>
      <c r="D257" s="14"/>
      <c r="E257" s="14"/>
      <c r="F257" s="14"/>
      <c r="G257" s="14"/>
    </row>
    <row r="258" ht="15.75" customHeight="1">
      <c r="B258" s="14"/>
      <c r="C258" s="14"/>
      <c r="D258" s="14"/>
      <c r="E258" s="14"/>
      <c r="F258" s="14"/>
      <c r="G258" s="14"/>
    </row>
    <row r="259" ht="15.75" customHeight="1">
      <c r="B259" s="14"/>
      <c r="C259" s="14"/>
      <c r="D259" s="14"/>
      <c r="E259" s="14"/>
      <c r="F259" s="14"/>
      <c r="G259" s="14"/>
    </row>
    <row r="260" ht="15.75" customHeight="1">
      <c r="B260" s="14"/>
      <c r="C260" s="14"/>
      <c r="D260" s="14"/>
      <c r="E260" s="14"/>
      <c r="F260" s="14"/>
      <c r="G260" s="14"/>
    </row>
    <row r="261" ht="15.75" customHeight="1">
      <c r="B261" s="14"/>
      <c r="C261" s="14"/>
      <c r="D261" s="14"/>
      <c r="E261" s="14"/>
      <c r="F261" s="14"/>
      <c r="G261" s="14"/>
    </row>
    <row r="262" ht="15.75" customHeight="1">
      <c r="B262" s="14"/>
      <c r="C262" s="14"/>
      <c r="D262" s="14"/>
      <c r="E262" s="14"/>
      <c r="F262" s="14"/>
      <c r="G262" s="14"/>
    </row>
    <row r="263" ht="15.75" customHeight="1">
      <c r="B263" s="14"/>
      <c r="C263" s="14"/>
      <c r="D263" s="14"/>
      <c r="E263" s="14"/>
      <c r="F263" s="14"/>
      <c r="G263" s="14"/>
    </row>
    <row r="264" ht="15.75" customHeight="1">
      <c r="B264" s="14"/>
      <c r="C264" s="14"/>
      <c r="D264" s="14"/>
      <c r="E264" s="14"/>
      <c r="F264" s="14"/>
      <c r="G264" s="14"/>
    </row>
    <row r="265" ht="15.75" customHeight="1">
      <c r="B265" s="14"/>
      <c r="C265" s="14"/>
      <c r="D265" s="14"/>
      <c r="E265" s="14"/>
      <c r="F265" s="14"/>
      <c r="G265" s="14"/>
    </row>
    <row r="266" ht="15.75" customHeight="1">
      <c r="B266" s="14"/>
      <c r="C266" s="14"/>
      <c r="D266" s="14"/>
      <c r="E266" s="14"/>
      <c r="F266" s="14"/>
      <c r="G266" s="14"/>
    </row>
    <row r="267" ht="15.75" customHeight="1">
      <c r="B267" s="14"/>
      <c r="C267" s="14"/>
      <c r="D267" s="14"/>
      <c r="E267" s="14"/>
      <c r="F267" s="14"/>
      <c r="G267" s="14"/>
    </row>
    <row r="268" ht="15.75" customHeight="1">
      <c r="B268" s="14"/>
      <c r="C268" s="14"/>
      <c r="D268" s="14"/>
      <c r="E268" s="14"/>
      <c r="F268" s="14"/>
      <c r="G268" s="14"/>
    </row>
    <row r="269" ht="15.75" customHeight="1">
      <c r="B269" s="14"/>
      <c r="C269" s="14"/>
      <c r="D269" s="14"/>
      <c r="E269" s="14"/>
      <c r="F269" s="14"/>
      <c r="G269" s="14"/>
    </row>
    <row r="270" ht="15.75" customHeight="1">
      <c r="B270" s="14"/>
      <c r="C270" s="14"/>
      <c r="D270" s="14"/>
      <c r="E270" s="14"/>
      <c r="F270" s="14"/>
      <c r="G270" s="14"/>
    </row>
    <row r="271" ht="15.75" customHeight="1">
      <c r="B271" s="14"/>
      <c r="C271" s="14"/>
      <c r="D271" s="14"/>
      <c r="E271" s="14"/>
      <c r="F271" s="14"/>
      <c r="G271" s="14"/>
    </row>
    <row r="272" ht="15.75" customHeight="1">
      <c r="B272" s="14"/>
      <c r="C272" s="14"/>
      <c r="D272" s="14"/>
      <c r="E272" s="14"/>
      <c r="F272" s="14"/>
      <c r="G272" s="14"/>
    </row>
    <row r="273" ht="15.75" customHeight="1">
      <c r="B273" s="14"/>
      <c r="C273" s="14"/>
      <c r="D273" s="14"/>
      <c r="E273" s="14"/>
      <c r="F273" s="14"/>
      <c r="G273" s="14"/>
    </row>
    <row r="274" ht="15.75" customHeight="1">
      <c r="B274" s="14"/>
      <c r="C274" s="14"/>
      <c r="D274" s="14"/>
      <c r="E274" s="14"/>
      <c r="F274" s="14"/>
      <c r="G274" s="14"/>
    </row>
    <row r="275" ht="15.75" customHeight="1">
      <c r="B275" s="14"/>
      <c r="C275" s="14"/>
      <c r="D275" s="14"/>
      <c r="E275" s="14"/>
      <c r="F275" s="14"/>
      <c r="G275" s="14"/>
    </row>
    <row r="276" ht="15.75" customHeight="1">
      <c r="B276" s="14"/>
      <c r="C276" s="14"/>
      <c r="D276" s="14"/>
      <c r="E276" s="14"/>
      <c r="F276" s="14"/>
      <c r="G276" s="14"/>
    </row>
    <row r="277" ht="15.75" customHeight="1">
      <c r="B277" s="14"/>
      <c r="C277" s="14"/>
      <c r="D277" s="14"/>
      <c r="E277" s="14"/>
      <c r="F277" s="14"/>
      <c r="G277" s="14"/>
    </row>
    <row r="278" ht="15.75" customHeight="1">
      <c r="B278" s="14"/>
      <c r="C278" s="14"/>
      <c r="D278" s="14"/>
      <c r="E278" s="14"/>
      <c r="F278" s="14"/>
      <c r="G278" s="14"/>
    </row>
    <row r="279" ht="15.75" customHeight="1">
      <c r="B279" s="14"/>
      <c r="C279" s="14"/>
      <c r="D279" s="14"/>
      <c r="E279" s="14"/>
      <c r="F279" s="14"/>
      <c r="G279" s="14"/>
    </row>
    <row r="280" ht="15.75" customHeight="1">
      <c r="B280" s="14"/>
      <c r="C280" s="14"/>
      <c r="D280" s="14"/>
      <c r="E280" s="14"/>
      <c r="F280" s="14"/>
      <c r="G280" s="14"/>
    </row>
    <row r="281" ht="15.75" customHeight="1">
      <c r="B281" s="14"/>
      <c r="C281" s="14"/>
      <c r="D281" s="14"/>
      <c r="E281" s="14"/>
      <c r="F281" s="14"/>
      <c r="G281" s="14"/>
    </row>
    <row r="282" ht="15.75" customHeight="1">
      <c r="B282" s="14"/>
      <c r="C282" s="14"/>
      <c r="D282" s="14"/>
      <c r="E282" s="14"/>
      <c r="F282" s="14"/>
      <c r="G282" s="14"/>
    </row>
    <row r="283" ht="15.75" customHeight="1">
      <c r="B283" s="14"/>
      <c r="C283" s="14"/>
      <c r="D283" s="14"/>
      <c r="E283" s="14"/>
      <c r="F283" s="14"/>
      <c r="G283" s="14"/>
    </row>
    <row r="284" ht="15.75" customHeight="1">
      <c r="B284" s="14"/>
      <c r="C284" s="14"/>
      <c r="D284" s="14"/>
      <c r="E284" s="14"/>
      <c r="F284" s="14"/>
      <c r="G284" s="14"/>
    </row>
    <row r="285" ht="15.75" customHeight="1">
      <c r="B285" s="14"/>
      <c r="C285" s="14"/>
      <c r="D285" s="14"/>
      <c r="E285" s="14"/>
      <c r="F285" s="14"/>
      <c r="G285" s="14"/>
    </row>
    <row r="286" ht="15.75" customHeight="1">
      <c r="B286" s="14"/>
      <c r="C286" s="14"/>
      <c r="D286" s="14"/>
      <c r="E286" s="14"/>
      <c r="F286" s="14"/>
      <c r="G286" s="14"/>
    </row>
    <row r="287" ht="15.75" customHeight="1">
      <c r="B287" s="14"/>
      <c r="C287" s="14"/>
      <c r="D287" s="14"/>
      <c r="E287" s="14"/>
      <c r="F287" s="14"/>
      <c r="G287" s="14"/>
    </row>
    <row r="288" ht="15.75" customHeight="1">
      <c r="B288" s="14"/>
      <c r="C288" s="14"/>
      <c r="D288" s="14"/>
      <c r="E288" s="14"/>
      <c r="F288" s="14"/>
      <c r="G288" s="14"/>
    </row>
    <row r="289" ht="15.75" customHeight="1">
      <c r="B289" s="14"/>
      <c r="C289" s="14"/>
      <c r="D289" s="14"/>
      <c r="E289" s="14"/>
      <c r="F289" s="14"/>
      <c r="G289" s="14"/>
    </row>
    <row r="290" ht="15.75" customHeight="1">
      <c r="B290" s="14"/>
      <c r="C290" s="14"/>
      <c r="D290" s="14"/>
      <c r="E290" s="14"/>
      <c r="F290" s="14"/>
      <c r="G290" s="14"/>
    </row>
    <row r="291" ht="15.75" customHeight="1">
      <c r="B291" s="14"/>
      <c r="C291" s="14"/>
      <c r="D291" s="14"/>
      <c r="E291" s="14"/>
      <c r="F291" s="14"/>
      <c r="G291" s="14"/>
    </row>
    <row r="292" ht="15.75" customHeight="1">
      <c r="B292" s="14"/>
      <c r="C292" s="14"/>
      <c r="D292" s="14"/>
      <c r="E292" s="14"/>
      <c r="F292" s="14"/>
      <c r="G292" s="14"/>
    </row>
    <row r="293" ht="15.75" customHeight="1">
      <c r="B293" s="14"/>
      <c r="C293" s="14"/>
      <c r="D293" s="14"/>
      <c r="E293" s="14"/>
      <c r="F293" s="14"/>
      <c r="G293" s="14"/>
    </row>
    <row r="294" ht="15.75" customHeight="1">
      <c r="B294" s="14"/>
      <c r="C294" s="14"/>
      <c r="D294" s="14"/>
      <c r="E294" s="14"/>
      <c r="F294" s="14"/>
      <c r="G294" s="14"/>
    </row>
    <row r="295" ht="15.75" customHeight="1">
      <c r="B295" s="14"/>
      <c r="C295" s="14"/>
      <c r="D295" s="14"/>
      <c r="E295" s="14"/>
      <c r="F295" s="14"/>
      <c r="G295" s="14"/>
    </row>
    <row r="296" ht="15.75" customHeight="1">
      <c r="B296" s="14"/>
      <c r="C296" s="14"/>
      <c r="D296" s="14"/>
      <c r="E296" s="14"/>
      <c r="F296" s="14"/>
      <c r="G296" s="14"/>
    </row>
    <row r="297" ht="15.75" customHeight="1">
      <c r="B297" s="14"/>
      <c r="C297" s="14"/>
      <c r="D297" s="14"/>
      <c r="E297" s="14"/>
      <c r="F297" s="14"/>
      <c r="G297" s="14"/>
    </row>
    <row r="298" ht="15.75" customHeight="1">
      <c r="B298" s="14"/>
      <c r="C298" s="14"/>
      <c r="D298" s="14"/>
      <c r="E298" s="14"/>
      <c r="F298" s="14"/>
      <c r="G298" s="14"/>
    </row>
    <row r="299" ht="15.75" customHeight="1">
      <c r="B299" s="14"/>
      <c r="C299" s="14"/>
      <c r="D299" s="14"/>
      <c r="E299" s="14"/>
      <c r="F299" s="14"/>
      <c r="G299" s="14"/>
    </row>
    <row r="300" ht="15.75" customHeight="1">
      <c r="B300" s="14"/>
      <c r="C300" s="14"/>
      <c r="D300" s="14"/>
      <c r="E300" s="14"/>
      <c r="F300" s="14"/>
      <c r="G300" s="14"/>
    </row>
    <row r="301" ht="15.75" customHeight="1">
      <c r="B301" s="14"/>
      <c r="C301" s="14"/>
      <c r="D301" s="14"/>
      <c r="E301" s="14"/>
      <c r="F301" s="14"/>
      <c r="G301" s="14"/>
    </row>
    <row r="302" ht="15.75" customHeight="1">
      <c r="B302" s="14"/>
      <c r="C302" s="14"/>
      <c r="D302" s="14"/>
      <c r="E302" s="14"/>
      <c r="F302" s="14"/>
      <c r="G302" s="14"/>
    </row>
    <row r="303" ht="15.75" customHeight="1">
      <c r="B303" s="14"/>
      <c r="C303" s="14"/>
      <c r="D303" s="14"/>
      <c r="E303" s="14"/>
      <c r="F303" s="14"/>
      <c r="G303" s="14"/>
    </row>
    <row r="304" ht="15.75" customHeight="1">
      <c r="B304" s="14"/>
      <c r="C304" s="14"/>
      <c r="D304" s="14"/>
      <c r="E304" s="14"/>
      <c r="F304" s="14"/>
      <c r="G304" s="14"/>
    </row>
    <row r="305" ht="15.75" customHeight="1">
      <c r="B305" s="14"/>
      <c r="C305" s="14"/>
      <c r="D305" s="14"/>
      <c r="E305" s="14"/>
      <c r="F305" s="14"/>
      <c r="G305" s="14"/>
    </row>
    <row r="306" ht="15.75" customHeight="1">
      <c r="B306" s="14"/>
      <c r="C306" s="14"/>
      <c r="D306" s="14"/>
      <c r="E306" s="14"/>
      <c r="F306" s="14"/>
      <c r="G306" s="14"/>
    </row>
    <row r="307" ht="15.75" customHeight="1">
      <c r="B307" s="14"/>
      <c r="C307" s="14"/>
      <c r="D307" s="14"/>
      <c r="E307" s="14"/>
      <c r="F307" s="14"/>
      <c r="G307" s="14"/>
    </row>
    <row r="308" ht="15.75" customHeight="1">
      <c r="B308" s="14"/>
      <c r="C308" s="14"/>
      <c r="D308" s="14"/>
      <c r="E308" s="14"/>
      <c r="F308" s="14"/>
      <c r="G308" s="14"/>
    </row>
    <row r="309" ht="15.75" customHeight="1">
      <c r="B309" s="14"/>
      <c r="C309" s="14"/>
      <c r="D309" s="14"/>
      <c r="E309" s="14"/>
      <c r="F309" s="14"/>
      <c r="G309" s="14"/>
    </row>
    <row r="310" ht="15.75" customHeight="1">
      <c r="B310" s="14"/>
      <c r="C310" s="14"/>
      <c r="D310" s="14"/>
      <c r="E310" s="14"/>
      <c r="F310" s="14"/>
      <c r="G310" s="14"/>
    </row>
    <row r="311" ht="15.75" customHeight="1">
      <c r="B311" s="14"/>
      <c r="C311" s="14"/>
      <c r="D311" s="14"/>
      <c r="E311" s="14"/>
      <c r="F311" s="14"/>
      <c r="G311" s="14"/>
    </row>
    <row r="312" ht="15.75" customHeight="1">
      <c r="B312" s="14"/>
      <c r="C312" s="14"/>
      <c r="D312" s="14"/>
      <c r="E312" s="14"/>
      <c r="F312" s="14"/>
      <c r="G312" s="14"/>
    </row>
    <row r="313" ht="15.75" customHeight="1">
      <c r="B313" s="14"/>
      <c r="C313" s="14"/>
      <c r="D313" s="14"/>
      <c r="E313" s="14"/>
      <c r="F313" s="14"/>
      <c r="G313" s="14"/>
    </row>
    <row r="314" ht="15.75" customHeight="1">
      <c r="B314" s="14"/>
      <c r="C314" s="14"/>
      <c r="D314" s="14"/>
      <c r="E314" s="14"/>
      <c r="F314" s="14"/>
      <c r="G314" s="14"/>
    </row>
    <row r="315" ht="15.75" customHeight="1">
      <c r="B315" s="14"/>
      <c r="C315" s="14"/>
      <c r="D315" s="14"/>
      <c r="E315" s="14"/>
      <c r="F315" s="14"/>
      <c r="G315" s="14"/>
    </row>
    <row r="316" ht="15.75" customHeight="1">
      <c r="B316" s="14"/>
      <c r="C316" s="14"/>
      <c r="D316" s="14"/>
      <c r="E316" s="14"/>
      <c r="F316" s="14"/>
      <c r="G316" s="14"/>
    </row>
    <row r="317" ht="15.75" customHeight="1">
      <c r="B317" s="14"/>
      <c r="C317" s="14"/>
      <c r="D317" s="14"/>
      <c r="E317" s="14"/>
      <c r="F317" s="14"/>
      <c r="G317" s="14"/>
    </row>
    <row r="318" ht="15.75" customHeight="1">
      <c r="B318" s="14"/>
      <c r="C318" s="14"/>
      <c r="D318" s="14"/>
      <c r="E318" s="14"/>
      <c r="F318" s="14"/>
      <c r="G318" s="14"/>
    </row>
    <row r="319" ht="15.75" customHeight="1">
      <c r="B319" s="14"/>
      <c r="C319" s="14"/>
      <c r="D319" s="14"/>
      <c r="E319" s="14"/>
      <c r="F319" s="14"/>
      <c r="G319" s="14"/>
    </row>
    <row r="320" ht="15.75" customHeight="1">
      <c r="B320" s="14"/>
      <c r="C320" s="14"/>
      <c r="D320" s="14"/>
      <c r="E320" s="14"/>
      <c r="F320" s="14"/>
      <c r="G320" s="14"/>
    </row>
    <row r="321" ht="15.75" customHeight="1">
      <c r="B321" s="14"/>
      <c r="C321" s="14"/>
      <c r="D321" s="14"/>
      <c r="E321" s="14"/>
      <c r="F321" s="14"/>
      <c r="G321" s="14"/>
    </row>
    <row r="322" ht="15.75" customHeight="1">
      <c r="B322" s="14"/>
      <c r="C322" s="14"/>
      <c r="D322" s="14"/>
      <c r="E322" s="14"/>
      <c r="F322" s="14"/>
      <c r="G322" s="14"/>
    </row>
    <row r="323" ht="15.75" customHeight="1">
      <c r="B323" s="14"/>
      <c r="C323" s="14"/>
      <c r="D323" s="14"/>
      <c r="E323" s="14"/>
      <c r="F323" s="14"/>
      <c r="G323" s="14"/>
    </row>
    <row r="324" ht="15.75" customHeight="1">
      <c r="B324" s="14"/>
      <c r="C324" s="14"/>
      <c r="D324" s="14"/>
      <c r="E324" s="14"/>
      <c r="F324" s="14"/>
      <c r="G324" s="14"/>
    </row>
    <row r="325" ht="15.75" customHeight="1">
      <c r="B325" s="14"/>
      <c r="C325" s="14"/>
      <c r="D325" s="14"/>
      <c r="E325" s="14"/>
      <c r="F325" s="14"/>
      <c r="G325" s="14"/>
    </row>
    <row r="326" ht="15.75" customHeight="1">
      <c r="B326" s="14"/>
      <c r="C326" s="14"/>
      <c r="D326" s="14"/>
      <c r="E326" s="14"/>
      <c r="F326" s="14"/>
      <c r="G326" s="14"/>
    </row>
    <row r="327" ht="15.75" customHeight="1">
      <c r="B327" s="14"/>
      <c r="C327" s="14"/>
      <c r="D327" s="14"/>
      <c r="E327" s="14"/>
      <c r="F327" s="14"/>
      <c r="G327" s="14"/>
    </row>
    <row r="328" ht="15.75" customHeight="1">
      <c r="B328" s="14"/>
      <c r="C328" s="14"/>
      <c r="D328" s="14"/>
      <c r="E328" s="14"/>
      <c r="F328" s="14"/>
      <c r="G328" s="14"/>
    </row>
    <row r="329" ht="15.75" customHeight="1">
      <c r="B329" s="14"/>
      <c r="C329" s="14"/>
      <c r="D329" s="14"/>
      <c r="E329" s="14"/>
      <c r="F329" s="14"/>
      <c r="G329" s="14"/>
    </row>
    <row r="330" ht="15.75" customHeight="1">
      <c r="B330" s="14"/>
      <c r="C330" s="14"/>
      <c r="D330" s="14"/>
      <c r="E330" s="14"/>
      <c r="F330" s="14"/>
      <c r="G330" s="14"/>
    </row>
    <row r="331" ht="15.75" customHeight="1">
      <c r="B331" s="14"/>
      <c r="C331" s="14"/>
      <c r="D331" s="14"/>
      <c r="E331" s="14"/>
      <c r="F331" s="14"/>
      <c r="G331" s="14"/>
    </row>
    <row r="332" ht="15.75" customHeight="1">
      <c r="B332" s="14"/>
      <c r="C332" s="14"/>
      <c r="D332" s="14"/>
      <c r="E332" s="14"/>
      <c r="F332" s="14"/>
      <c r="G332" s="14"/>
    </row>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s>
  <sheetData>
    <row r="1" ht="15.75" customHeight="1">
      <c r="A1" s="91"/>
      <c r="B1" s="92" t="s">
        <v>344</v>
      </c>
      <c r="C1" s="93"/>
      <c r="D1" s="93"/>
      <c r="E1" s="93"/>
      <c r="F1" s="93"/>
      <c r="G1" s="91"/>
    </row>
    <row r="2" ht="15.75" customHeight="1">
      <c r="A2" s="91" t="s">
        <v>345</v>
      </c>
      <c r="B2" s="94"/>
      <c r="C2" s="93"/>
      <c r="D2" s="93"/>
      <c r="E2" s="93"/>
      <c r="F2" s="93"/>
      <c r="G2" s="93"/>
    </row>
    <row r="3" ht="15.75" customHeight="1">
      <c r="A3" s="95" t="s">
        <v>346</v>
      </c>
      <c r="B3" s="96">
        <v>2025.0</v>
      </c>
      <c r="C3" s="96">
        <v>2026.0</v>
      </c>
      <c r="D3" s="96">
        <v>2027.0</v>
      </c>
      <c r="E3" s="96">
        <v>2028.0</v>
      </c>
      <c r="F3" s="96">
        <v>2029.0</v>
      </c>
      <c r="G3" s="97"/>
    </row>
    <row r="4" ht="15.75" customHeight="1">
      <c r="A4" s="85" t="s">
        <v>347</v>
      </c>
      <c r="B4" s="88">
        <f>'Income Statement'!H6</f>
        <v>3922490.025</v>
      </c>
      <c r="C4" s="88">
        <f>'Income Statement'!I6</f>
        <v>5097208.127</v>
      </c>
      <c r="D4" s="88">
        <f>'Income Statement'!J6</f>
        <v>6672586.515</v>
      </c>
      <c r="E4" s="88">
        <f>'Income Statement'!K6</f>
        <v>8381498.194</v>
      </c>
      <c r="F4" s="88">
        <f>'Income Statement'!L6</f>
        <v>10243735.61</v>
      </c>
      <c r="G4" s="98"/>
    </row>
    <row r="5" ht="15.75" customHeight="1">
      <c r="A5" s="99" t="s">
        <v>348</v>
      </c>
      <c r="B5" s="88">
        <f>'Income Statement'!H12</f>
        <v>878190.0221</v>
      </c>
      <c r="C5" s="88">
        <f>'Income Statement'!I12</f>
        <v>1151096.116</v>
      </c>
      <c r="D5" s="88">
        <f>'Income Statement'!J12</f>
        <v>1472946.607</v>
      </c>
      <c r="E5" s="88">
        <f>'Income Statement'!K12</f>
        <v>1736818.483</v>
      </c>
      <c r="F5" s="88">
        <f>'Income Statement'!L12</f>
        <v>2092553.047</v>
      </c>
      <c r="G5" s="98"/>
    </row>
    <row r="6" ht="15.75" customHeight="1">
      <c r="A6" s="100" t="s">
        <v>349</v>
      </c>
      <c r="B6" s="88">
        <f t="shared" ref="B6:F6" si="1">B4-B5</f>
        <v>3044300.003</v>
      </c>
      <c r="C6" s="88">
        <f t="shared" si="1"/>
        <v>3946112.011</v>
      </c>
      <c r="D6" s="88">
        <f t="shared" si="1"/>
        <v>5199639.909</v>
      </c>
      <c r="E6" s="88">
        <f t="shared" si="1"/>
        <v>6644679.711</v>
      </c>
      <c r="F6" s="88">
        <f t="shared" si="1"/>
        <v>8151182.561</v>
      </c>
      <c r="G6" s="98"/>
    </row>
    <row r="7" ht="15.75" customHeight="1">
      <c r="A7" s="99" t="s">
        <v>350</v>
      </c>
      <c r="B7" s="101">
        <f t="shared" ref="B7:F7" si="2">B6/B4</f>
        <v>0.7761141478</v>
      </c>
      <c r="C7" s="101">
        <f t="shared" si="2"/>
        <v>0.7741712547</v>
      </c>
      <c r="D7" s="101">
        <f t="shared" si="2"/>
        <v>0.7792540264</v>
      </c>
      <c r="E7" s="101">
        <f t="shared" si="2"/>
        <v>0.7927794718</v>
      </c>
      <c r="F7" s="101">
        <f t="shared" si="2"/>
        <v>0.7957236376</v>
      </c>
      <c r="G7" s="98"/>
    </row>
    <row r="8" ht="15.75" customHeight="1">
      <c r="A8" s="99" t="s">
        <v>351</v>
      </c>
      <c r="B8" s="88">
        <f>'Income Statement'!H19</f>
        <v>2699244.391</v>
      </c>
      <c r="C8" s="88">
        <f>'Income Statement'!I19</f>
        <v>3331040.177</v>
      </c>
      <c r="D8" s="88">
        <f>'Income Statement'!J19</f>
        <v>4130888.905</v>
      </c>
      <c r="E8" s="88">
        <f>'Income Statement'!K19</f>
        <v>5052944.91</v>
      </c>
      <c r="F8" s="88">
        <f>'Income Statement'!L19</f>
        <v>6023593.492</v>
      </c>
      <c r="G8" s="98"/>
    </row>
    <row r="9" ht="15.75" customHeight="1">
      <c r="A9" s="85" t="s">
        <v>352</v>
      </c>
      <c r="B9" s="88">
        <f>'Income Statement'!H20</f>
        <v>345055.6117</v>
      </c>
      <c r="C9" s="88">
        <f>'Income Statement'!I20</f>
        <v>615071.8332</v>
      </c>
      <c r="D9" s="88">
        <f>'Income Statement'!J20</f>
        <v>1068751.004</v>
      </c>
      <c r="E9" s="88">
        <f>'Income Statement'!K20</f>
        <v>1591734.801</v>
      </c>
      <c r="F9" s="88">
        <f>'Income Statement'!L20</f>
        <v>2127589.069</v>
      </c>
      <c r="G9" s="98"/>
    </row>
    <row r="10" ht="15.75" customHeight="1">
      <c r="A10" s="102" t="s">
        <v>353</v>
      </c>
      <c r="B10" s="101">
        <f t="shared" ref="B10:F10" si="3">B9/B4</f>
        <v>0.08796851221</v>
      </c>
      <c r="C10" s="101">
        <f t="shared" si="3"/>
        <v>0.1206683773</v>
      </c>
      <c r="D10" s="101">
        <f t="shared" si="3"/>
        <v>0.1601704229</v>
      </c>
      <c r="E10" s="101">
        <f t="shared" si="3"/>
        <v>0.1899105344</v>
      </c>
      <c r="F10" s="101">
        <f t="shared" si="3"/>
        <v>0.2076966011</v>
      </c>
      <c r="G10" s="98"/>
    </row>
    <row r="11" ht="15.75" customHeight="1">
      <c r="A11" s="99" t="s">
        <v>354</v>
      </c>
      <c r="B11" s="88">
        <f>'Income Statement'!H27</f>
        <v>63859.92233</v>
      </c>
      <c r="C11" s="88">
        <f>'Income Statement'!I27</f>
        <v>117863.1666</v>
      </c>
      <c r="D11" s="88">
        <f>'Income Statement'!J27</f>
        <v>208599.0007</v>
      </c>
      <c r="E11" s="88">
        <f>'Income Statement'!K27</f>
        <v>313195.7602</v>
      </c>
      <c r="F11" s="88">
        <f>'Income Statement'!L27</f>
        <v>420366.6137</v>
      </c>
      <c r="G11" s="98"/>
    </row>
    <row r="12" ht="15.75" customHeight="1">
      <c r="A12" s="85" t="s">
        <v>355</v>
      </c>
      <c r="B12" s="54">
        <f t="shared" ref="B12:F12" si="4">B9-B11</f>
        <v>281195.6893</v>
      </c>
      <c r="C12" s="54">
        <f t="shared" si="4"/>
        <v>497208.6665</v>
      </c>
      <c r="D12" s="54">
        <f t="shared" si="4"/>
        <v>860152.003</v>
      </c>
      <c r="E12" s="54">
        <f t="shared" si="4"/>
        <v>1278539.041</v>
      </c>
      <c r="F12" s="54">
        <f t="shared" si="4"/>
        <v>1707222.455</v>
      </c>
      <c r="G12" s="98"/>
    </row>
    <row r="13" ht="15.75" customHeight="1">
      <c r="A13" s="85" t="s">
        <v>356</v>
      </c>
      <c r="B13" s="103"/>
      <c r="C13" s="103"/>
      <c r="D13" s="103"/>
      <c r="E13" s="103"/>
      <c r="F13" s="103"/>
      <c r="G13" s="98"/>
    </row>
    <row r="14" ht="15.75" customHeight="1">
      <c r="A14" s="99" t="s">
        <v>357</v>
      </c>
      <c r="B14" s="88">
        <f>'Cash Flow Statement'!H7</f>
        <v>222805.3432</v>
      </c>
      <c r="C14" s="88">
        <f>'Cash Flow Statement'!I7</f>
        <v>347513.2503</v>
      </c>
      <c r="D14" s="88">
        <f>'Cash Flow Statement'!J7</f>
        <v>510764.2455</v>
      </c>
      <c r="E14" s="88">
        <f>'Cash Flow Statement'!K7</f>
        <v>715825.3441</v>
      </c>
      <c r="F14" s="88">
        <f>'Cash Flow Statement'!L7</f>
        <v>966447.8019</v>
      </c>
      <c r="G14" s="98"/>
    </row>
    <row r="15" ht="15.75" customHeight="1">
      <c r="A15" s="99" t="s">
        <v>358</v>
      </c>
      <c r="B15" s="88">
        <f>'Cash Flow Statement'!H9</f>
        <v>18773.0679</v>
      </c>
      <c r="C15" s="88">
        <f>'Cash Flow Statement'!I9</f>
        <v>19237.07147</v>
      </c>
      <c r="D15" s="88">
        <f>'Cash Flow Statement'!J9</f>
        <v>19844.4832</v>
      </c>
      <c r="E15" s="88">
        <f>'Cash Flow Statement'!K9</f>
        <v>20607.45874</v>
      </c>
      <c r="F15" s="88">
        <f>'Cash Flow Statement'!L9</f>
        <v>21539.95547</v>
      </c>
      <c r="G15" s="98"/>
    </row>
    <row r="16" ht="15.75" customHeight="1">
      <c r="A16" s="99" t="s">
        <v>359</v>
      </c>
      <c r="B16" s="88">
        <f>'Cash Flow Statement'!H10</f>
        <v>415823.9467</v>
      </c>
      <c r="C16" s="88">
        <f>'Cash Flow Statement'!I10</f>
        <v>645732.264</v>
      </c>
      <c r="D16" s="88">
        <f>'Cash Flow Statement'!J10</f>
        <v>946697.6356</v>
      </c>
      <c r="E16" s="88">
        <f>'Cash Flow Statement'!K10</f>
        <v>1324743.048</v>
      </c>
      <c r="F16" s="88">
        <f>'Cash Flow Statement'!L10</f>
        <v>1786784.22</v>
      </c>
      <c r="G16" s="98"/>
    </row>
    <row r="17" ht="15.75" customHeight="1">
      <c r="A17" s="85" t="s">
        <v>360</v>
      </c>
      <c r="B17" s="104"/>
      <c r="C17" s="104"/>
      <c r="D17" s="104"/>
      <c r="E17" s="104"/>
      <c r="F17" s="104"/>
      <c r="G17" s="98"/>
    </row>
    <row r="18" ht="15.75" customHeight="1">
      <c r="A18" s="99" t="s">
        <v>201</v>
      </c>
      <c r="B18" s="88">
        <f>-1*'Cash Flow Statement'!H24</f>
        <v>66016.55693</v>
      </c>
      <c r="C18" s="88">
        <f>-1*'Cash Flow Statement'!I24</f>
        <v>275261.0519</v>
      </c>
      <c r="D18" s="88">
        <f>-1*'Cash Flow Statement'!J24</f>
        <v>369144.1477</v>
      </c>
      <c r="E18" s="88">
        <f>-1*'Cash Flow Statement'!K24</f>
        <v>400433.7941</v>
      </c>
      <c r="F18" s="88">
        <f>-1*'Cash Flow Statement'!L24</f>
        <v>436361.2247</v>
      </c>
      <c r="G18" s="98"/>
    </row>
    <row r="19" ht="15.75" customHeight="1">
      <c r="A19" s="99" t="s">
        <v>255</v>
      </c>
      <c r="B19" s="88">
        <f>-1*'Cash Flow Statement'!H25</f>
        <v>707691.7866</v>
      </c>
      <c r="C19" s="88">
        <f>-1*'Cash Flow Statement'!I25</f>
        <v>919633.2694</v>
      </c>
      <c r="D19" s="88">
        <f>-1*'Cash Flow Statement'!J25</f>
        <v>1203861.486</v>
      </c>
      <c r="E19" s="88">
        <f>-1*'Cash Flow Statement'!K25</f>
        <v>1512181.648</v>
      </c>
      <c r="F19" s="88">
        <f>-1*'Cash Flow Statement'!L25</f>
        <v>1848164.688</v>
      </c>
      <c r="G19" s="98"/>
    </row>
    <row r="20" ht="15.75" customHeight="1">
      <c r="A20" s="99" t="s">
        <v>286</v>
      </c>
      <c r="B20" s="88">
        <f>-1*'Cash Flow Statement'!H26</f>
        <v>29683.53401</v>
      </c>
      <c r="C20" s="88">
        <f>-1*'Cash Flow Statement'!I26</f>
        <v>66146.92822</v>
      </c>
      <c r="D20" s="88">
        <f>-1*'Cash Flow Statement'!J26</f>
        <v>78010.06196</v>
      </c>
      <c r="E20" s="88">
        <f>-1*'Cash Flow Statement'!K26</f>
        <v>63957.21626</v>
      </c>
      <c r="F20" s="88">
        <f>-1*'Cash Flow Statement'!L26</f>
        <v>86222.87747</v>
      </c>
      <c r="G20" s="98"/>
    </row>
    <row r="21" ht="15.75" customHeight="1">
      <c r="A21" s="85" t="s">
        <v>361</v>
      </c>
      <c r="B21" s="88"/>
      <c r="C21" s="88"/>
      <c r="D21" s="88"/>
      <c r="E21" s="88"/>
      <c r="F21" s="88"/>
      <c r="G21" s="98"/>
    </row>
    <row r="22" ht="15.75" customHeight="1">
      <c r="A22" s="99" t="s">
        <v>362</v>
      </c>
      <c r="B22" s="88">
        <f>'Cash Flow Statement'!H27</f>
        <v>24906.18933</v>
      </c>
      <c r="C22" s="88">
        <f>'Cash Flow Statement'!I27</f>
        <v>128532.1476</v>
      </c>
      <c r="D22" s="88">
        <f>'Cash Flow Statement'!J27</f>
        <v>151583.7707</v>
      </c>
      <c r="E22" s="88">
        <f>'Cash Flow Statement'!K27</f>
        <v>124277.2504</v>
      </c>
      <c r="F22" s="88">
        <f>'Cash Flow Statement'!L27</f>
        <v>167542.3472</v>
      </c>
      <c r="G22" s="98"/>
    </row>
    <row r="23" ht="15.75" customHeight="1">
      <c r="A23" s="99" t="s">
        <v>217</v>
      </c>
      <c r="B23" s="88">
        <f>'Cash Flow Statement'!H29</f>
        <v>824606.73</v>
      </c>
      <c r="C23" s="88">
        <f>'Cash Flow Statement'!I29</f>
        <v>930889.3752</v>
      </c>
      <c r="D23" s="88">
        <f>'Cash Flow Statement'!J29</f>
        <v>1058110.923</v>
      </c>
      <c r="E23" s="88">
        <f>'Cash Flow Statement'!K29</f>
        <v>1173541.206</v>
      </c>
      <c r="F23" s="88">
        <f>'Cash Flow Statement'!L29</f>
        <v>1267424.502</v>
      </c>
      <c r="G23" s="98"/>
    </row>
    <row r="24" ht="15.75" customHeight="1">
      <c r="A24" s="85" t="s">
        <v>363</v>
      </c>
      <c r="B24" s="88"/>
      <c r="C24" s="88"/>
      <c r="D24" s="88"/>
      <c r="E24" s="88"/>
      <c r="F24" s="88"/>
      <c r="G24" s="98"/>
    </row>
    <row r="25" ht="15.75" customHeight="1">
      <c r="A25" s="99" t="s">
        <v>364</v>
      </c>
      <c r="B25" s="88">
        <f>'Cash Flow Statement'!H34*-1</f>
        <v>479836.716</v>
      </c>
      <c r="C25" s="88">
        <f>'Cash Flow Statement'!I34*-1</f>
        <v>623539.5355</v>
      </c>
      <c r="D25" s="88">
        <f>'Cash Flow Statement'!J34*-1</f>
        <v>816254.9759</v>
      </c>
      <c r="E25" s="88">
        <f>'Cash Flow Statement'!K34*-1</f>
        <v>1025305.493</v>
      </c>
      <c r="F25" s="88">
        <f>'Cash Flow Statement'!L34*-1</f>
        <v>1253112.289</v>
      </c>
      <c r="G25" s="98"/>
    </row>
    <row r="26" ht="15.75" customHeight="1">
      <c r="A26" s="99" t="s">
        <v>336</v>
      </c>
      <c r="B26" s="88">
        <f>'Cash Flow Statement'!H38*-1</f>
        <v>7141.357956</v>
      </c>
      <c r="C26" s="88">
        <f>'Cash Flow Statement'!I38*-1</f>
        <v>9280.071479</v>
      </c>
      <c r="D26" s="88">
        <f>'Cash Flow Statement'!J38*-1</f>
        <v>12148.23454</v>
      </c>
      <c r="E26" s="88">
        <f>'Cash Flow Statement'!K38*-1</f>
        <v>15259.51078</v>
      </c>
      <c r="F26" s="88">
        <f>'Cash Flow Statement'!L38*-1</f>
        <v>18649.93469</v>
      </c>
      <c r="G26" s="98"/>
    </row>
    <row r="27" ht="15.75" customHeight="1">
      <c r="A27" s="105" t="s">
        <v>365</v>
      </c>
      <c r="B27" s="106">
        <f t="shared" ref="B27:F27" si="5">B12+sum(B14:B16)-sum(B18:B20)+sum(B22:B23)-sum(B25:B26)</f>
        <v>497741.0148</v>
      </c>
      <c r="C27" s="106">
        <f t="shared" si="5"/>
        <v>675251.9187</v>
      </c>
      <c r="D27" s="106">
        <f t="shared" si="5"/>
        <v>1067734.155</v>
      </c>
      <c r="E27" s="106">
        <f t="shared" si="5"/>
        <v>1620395.685</v>
      </c>
      <c r="F27" s="106">
        <f t="shared" si="5"/>
        <v>2274450.267</v>
      </c>
      <c r="G27" s="107"/>
    </row>
    <row r="28" ht="15.75" customHeight="1">
      <c r="A28" s="93"/>
      <c r="B28" s="93"/>
      <c r="C28" s="93"/>
      <c r="D28" s="93"/>
      <c r="E28" s="93"/>
      <c r="F28" s="93"/>
      <c r="G28" s="93"/>
    </row>
    <row r="29" ht="15.75" customHeight="1">
      <c r="A29" s="108" t="s">
        <v>124</v>
      </c>
      <c r="B29" s="109"/>
      <c r="C29" s="109"/>
      <c r="D29" s="109"/>
      <c r="E29" s="109"/>
      <c r="F29" s="109"/>
      <c r="G29" s="110">
        <f>(F34/B34)^0.2-1-0.04</f>
        <v>0.3151101656</v>
      </c>
      <c r="H29" s="12"/>
      <c r="I29" s="12"/>
      <c r="J29" s="12"/>
      <c r="K29" s="12"/>
      <c r="L29" s="111"/>
    </row>
    <row r="30" ht="15.75" customHeight="1">
      <c r="A30" s="85" t="s">
        <v>366</v>
      </c>
      <c r="B30" s="5">
        <v>0.0895</v>
      </c>
      <c r="C30" s="93"/>
      <c r="D30" s="53" t="s">
        <v>367</v>
      </c>
      <c r="E30" s="88">
        <v>2.44E8</v>
      </c>
      <c r="F30" s="90"/>
      <c r="G30" s="3" t="s">
        <v>368</v>
      </c>
      <c r="L30" s="98"/>
    </row>
    <row r="31" ht="15.75" customHeight="1">
      <c r="A31" s="85" t="s">
        <v>369</v>
      </c>
      <c r="B31" s="5">
        <v>0.03</v>
      </c>
      <c r="C31" s="90"/>
      <c r="D31" s="90"/>
      <c r="E31" s="90"/>
      <c r="F31" s="90"/>
      <c r="G31" s="2">
        <f>(K34/G34)^0.25-1</f>
        <v>0.2888079623</v>
      </c>
      <c r="L31" s="98"/>
    </row>
    <row r="32" ht="15.75" customHeight="1">
      <c r="A32" s="93"/>
      <c r="B32" s="93"/>
      <c r="C32" s="93"/>
      <c r="D32" s="93"/>
      <c r="E32" s="93"/>
      <c r="F32" s="93"/>
      <c r="K32" s="2"/>
      <c r="L32" s="98"/>
      <c r="M32" s="3">
        <f>1*1.1</f>
        <v>1.1</v>
      </c>
      <c r="N32" s="3">
        <f t="shared" ref="N32:Q32" si="6">M32*0.99</f>
        <v>1.089</v>
      </c>
      <c r="O32" s="3">
        <f t="shared" si="6"/>
        <v>1.07811</v>
      </c>
      <c r="P32" s="3">
        <f t="shared" si="6"/>
        <v>1.0673289</v>
      </c>
      <c r="Q32" s="3">
        <f t="shared" si="6"/>
        <v>1.056655611</v>
      </c>
    </row>
    <row r="33" ht="15.75" customHeight="1">
      <c r="A33" s="99"/>
      <c r="B33" s="103">
        <v>2025.0</v>
      </c>
      <c r="C33" s="103">
        <v>2026.0</v>
      </c>
      <c r="D33" s="103">
        <v>2027.0</v>
      </c>
      <c r="E33" s="103">
        <v>2028.0</v>
      </c>
      <c r="F33" s="103">
        <v>2029.0</v>
      </c>
      <c r="G33" s="103">
        <f t="shared" ref="G33:K33" si="7">F33+1</f>
        <v>2030</v>
      </c>
      <c r="H33" s="103">
        <f t="shared" si="7"/>
        <v>2031</v>
      </c>
      <c r="I33" s="103">
        <f t="shared" si="7"/>
        <v>2032</v>
      </c>
      <c r="J33" s="103">
        <f t="shared" si="7"/>
        <v>2033</v>
      </c>
      <c r="K33" s="1">
        <f t="shared" si="7"/>
        <v>2034</v>
      </c>
      <c r="L33" s="112" t="s">
        <v>370</v>
      </c>
    </row>
    <row r="34" ht="15.75" customHeight="1">
      <c r="A34" s="85" t="s">
        <v>365</v>
      </c>
      <c r="B34" s="88">
        <f>$B$27</f>
        <v>497741.0148</v>
      </c>
      <c r="C34" s="88">
        <f>$C$27</f>
        <v>675251.9187</v>
      </c>
      <c r="D34" s="88">
        <f>$D$27</f>
        <v>1067734.155</v>
      </c>
      <c r="E34" s="88">
        <f>$E$27</f>
        <v>1620395.685</v>
      </c>
      <c r="F34" s="88">
        <f>$F$27</f>
        <v>2274450.267</v>
      </c>
      <c r="G34" s="113">
        <f>F34*1.25</f>
        <v>2843062.834</v>
      </c>
      <c r="H34" s="113">
        <f t="shared" ref="H34:K34" si="8">(G34)*(1+$G$29)*0.98</f>
        <v>3664162.018</v>
      </c>
      <c r="I34" s="113">
        <f t="shared" si="8"/>
        <v>4722401.183</v>
      </c>
      <c r="J34" s="113">
        <f t="shared" si="8"/>
        <v>6086268.246</v>
      </c>
      <c r="K34" s="113">
        <f t="shared" si="8"/>
        <v>7844030.976</v>
      </c>
      <c r="L34" s="114">
        <f>K34*(1+B31)/(B30-B31)</f>
        <v>135787427</v>
      </c>
    </row>
    <row r="35" ht="15.75" customHeight="1">
      <c r="A35" s="99" t="s">
        <v>371</v>
      </c>
      <c r="B35" s="115">
        <f>(1+$B$30)^1</f>
        <v>1.0895</v>
      </c>
      <c r="C35" s="115">
        <f>(1+$B$30)^2</f>
        <v>1.18701025</v>
      </c>
      <c r="D35" s="115">
        <f>(1+$B$30)^3</f>
        <v>1.293247667</v>
      </c>
      <c r="E35" s="115">
        <f>(1+$B$30)^4</f>
        <v>1.408993334</v>
      </c>
      <c r="F35" s="115">
        <f>(1+$B$30)^5</f>
        <v>1.535098237</v>
      </c>
      <c r="G35" s="115">
        <f t="shared" ref="G35:K35" si="9">(1+$B$30)^(G33-2024)</f>
        <v>1.672489529</v>
      </c>
      <c r="H35" s="115">
        <f t="shared" si="9"/>
        <v>1.822177342</v>
      </c>
      <c r="I35" s="115">
        <f t="shared" si="9"/>
        <v>1.985262214</v>
      </c>
      <c r="J35" s="115">
        <f t="shared" si="9"/>
        <v>2.162943182</v>
      </c>
      <c r="K35" s="115">
        <f t="shared" si="9"/>
        <v>2.356526597</v>
      </c>
      <c r="L35" s="116">
        <f>K35</f>
        <v>2.356526597</v>
      </c>
    </row>
    <row r="36" ht="15.75" customHeight="1">
      <c r="A36" s="99" t="s">
        <v>372</v>
      </c>
      <c r="B36" s="88">
        <f t="shared" ref="B36:L36" si="10">B34/B35</f>
        <v>456852.6983</v>
      </c>
      <c r="C36" s="88">
        <f t="shared" si="10"/>
        <v>568867.8077</v>
      </c>
      <c r="D36" s="88">
        <f t="shared" si="10"/>
        <v>825622.3316</v>
      </c>
      <c r="E36" s="88">
        <f t="shared" si="10"/>
        <v>1150037.865</v>
      </c>
      <c r="F36" s="88">
        <f t="shared" si="10"/>
        <v>1481631.737</v>
      </c>
      <c r="G36" s="88">
        <f t="shared" si="10"/>
        <v>1699898.734</v>
      </c>
      <c r="H36" s="88">
        <f t="shared" si="10"/>
        <v>2010870.146</v>
      </c>
      <c r="I36" s="88">
        <f t="shared" si="10"/>
        <v>2378729.192</v>
      </c>
      <c r="J36" s="88">
        <f t="shared" si="10"/>
        <v>2813882.628</v>
      </c>
      <c r="K36" s="88">
        <f t="shared" si="10"/>
        <v>3328640.969</v>
      </c>
      <c r="L36" s="114">
        <f t="shared" si="10"/>
        <v>57621852.07</v>
      </c>
    </row>
    <row r="37" ht="15.75" customHeight="1">
      <c r="A37" s="99"/>
      <c r="B37" s="93"/>
      <c r="C37" s="93"/>
      <c r="D37" s="93"/>
      <c r="E37" s="93"/>
      <c r="F37" s="90"/>
      <c r="L37" s="98"/>
    </row>
    <row r="38" ht="15.75" customHeight="1">
      <c r="A38" s="85" t="s">
        <v>373</v>
      </c>
      <c r="B38" s="88">
        <f>sum(B36:L36)</f>
        <v>74336886.18</v>
      </c>
      <c r="C38" s="117"/>
      <c r="D38" s="91" t="s">
        <v>374</v>
      </c>
      <c r="E38" s="118">
        <f>IFERROR(__xludf.DUMMYFUNCTION("GOOGLEFINANCE(""CRWD"", ""price"")"),453.77)</f>
        <v>453.77</v>
      </c>
      <c r="F38" s="90"/>
      <c r="L38" s="98"/>
    </row>
    <row r="39" ht="15.75" customHeight="1">
      <c r="A39" s="99" t="s">
        <v>375</v>
      </c>
      <c r="B39" s="88">
        <f>'Balance Sheet'!$H$5</f>
        <v>3850752.066</v>
      </c>
      <c r="C39" s="90"/>
      <c r="D39" s="53" t="s">
        <v>376</v>
      </c>
      <c r="E39" s="118">
        <f>B41*1000/E30</f>
        <v>317.3981322</v>
      </c>
      <c r="F39" s="90"/>
      <c r="L39" s="98"/>
    </row>
    <row r="40" ht="15.75" customHeight="1">
      <c r="A40" s="99" t="s">
        <v>377</v>
      </c>
      <c r="B40" s="88">
        <f>'Balance Sheet'!$H$29</f>
        <v>742494</v>
      </c>
      <c r="C40" s="90"/>
      <c r="D40" s="53" t="s">
        <v>378</v>
      </c>
      <c r="E40" s="5">
        <f>E39/E38-1</f>
        <v>-0.3005308148</v>
      </c>
      <c r="F40" s="93"/>
      <c r="L40" s="98"/>
    </row>
    <row r="41" ht="15.75" customHeight="1">
      <c r="A41" s="105" t="s">
        <v>379</v>
      </c>
      <c r="B41" s="106">
        <f>B38+B39-B40</f>
        <v>77445144.25</v>
      </c>
      <c r="C41" s="119"/>
      <c r="D41" s="119"/>
      <c r="E41" s="119"/>
      <c r="F41" s="119"/>
      <c r="G41" s="6"/>
      <c r="H41" s="6"/>
      <c r="I41" s="6"/>
      <c r="J41" s="6"/>
      <c r="K41" s="6"/>
      <c r="L41" s="107"/>
    </row>
    <row r="42" ht="15.75" customHeight="1">
      <c r="A42" s="93"/>
      <c r="B42" s="93"/>
      <c r="C42" s="93"/>
      <c r="D42" s="93"/>
      <c r="E42" s="93"/>
      <c r="F42" s="93"/>
      <c r="G42" s="93"/>
    </row>
    <row r="43" ht="15.75" customHeight="1">
      <c r="A43" s="108" t="s">
        <v>380</v>
      </c>
      <c r="B43" s="109"/>
      <c r="C43" s="109"/>
      <c r="D43" s="109"/>
      <c r="E43" s="109"/>
      <c r="F43" s="109"/>
      <c r="G43" s="12"/>
      <c r="H43" s="12"/>
      <c r="I43" s="12"/>
      <c r="J43" s="12"/>
      <c r="K43" s="12"/>
      <c r="L43" s="111"/>
    </row>
    <row r="44" ht="15.75" customHeight="1">
      <c r="A44" s="85" t="s">
        <v>366</v>
      </c>
      <c r="B44" s="5">
        <v>0.1</v>
      </c>
      <c r="C44" s="93"/>
      <c r="D44" s="53" t="s">
        <v>367</v>
      </c>
      <c r="E44" s="88">
        <v>2.44E8</v>
      </c>
      <c r="F44" s="90"/>
      <c r="G44" s="3" t="s">
        <v>368</v>
      </c>
      <c r="L44" s="98"/>
    </row>
    <row r="45" ht="15.75" customHeight="1">
      <c r="A45" s="85" t="s">
        <v>369</v>
      </c>
      <c r="B45" s="5">
        <v>0.03</v>
      </c>
      <c r="C45" s="90"/>
      <c r="D45" s="90"/>
      <c r="E45" s="90"/>
      <c r="F45" s="90"/>
      <c r="G45" s="2">
        <v>0.1</v>
      </c>
      <c r="L45" s="98"/>
    </row>
    <row r="46" ht="15.75" customHeight="1">
      <c r="A46" s="99"/>
      <c r="B46" s="93"/>
      <c r="C46" s="93"/>
      <c r="D46" s="93"/>
      <c r="E46" s="93"/>
      <c r="F46" s="93"/>
      <c r="K46" s="2"/>
      <c r="L46" s="98"/>
    </row>
    <row r="47" ht="15.75" customHeight="1">
      <c r="A47" s="99"/>
      <c r="B47" s="96">
        <v>2025.0</v>
      </c>
      <c r="C47" s="96">
        <v>2026.0</v>
      </c>
      <c r="D47" s="96">
        <v>2027.0</v>
      </c>
      <c r="E47" s="96">
        <v>2028.0</v>
      </c>
      <c r="F47" s="96">
        <v>2029.0</v>
      </c>
      <c r="G47" s="103">
        <f t="shared" ref="G47:K47" si="11">F47+1</f>
        <v>2030</v>
      </c>
      <c r="H47" s="103">
        <f t="shared" si="11"/>
        <v>2031</v>
      </c>
      <c r="I47" s="103">
        <f t="shared" si="11"/>
        <v>2032</v>
      </c>
      <c r="J47" s="103">
        <f t="shared" si="11"/>
        <v>2033</v>
      </c>
      <c r="K47" s="1">
        <f t="shared" si="11"/>
        <v>2034</v>
      </c>
      <c r="L47" s="112" t="s">
        <v>370</v>
      </c>
    </row>
    <row r="48" ht="15.75" customHeight="1">
      <c r="A48" s="85" t="s">
        <v>365</v>
      </c>
      <c r="B48" s="88">
        <f>$B$27*0.95</f>
        <v>472853.9641</v>
      </c>
      <c r="C48" s="88">
        <f>$C$27*0.95</f>
        <v>641489.3228</v>
      </c>
      <c r="D48" s="88">
        <f>$D$27*0.95</f>
        <v>1014347.447</v>
      </c>
      <c r="E48" s="88">
        <f>$E$27*0.95</f>
        <v>1539375.901</v>
      </c>
      <c r="F48" s="88">
        <f>$F$27*0.95</f>
        <v>2160727.754</v>
      </c>
      <c r="G48" s="113">
        <f>F48*1.25</f>
        <v>2700909.692</v>
      </c>
      <c r="H48" s="113">
        <f t="shared" ref="H48:K48" si="12">(G48)*(1+$G$45)</f>
        <v>2971000.662</v>
      </c>
      <c r="I48" s="113">
        <f t="shared" si="12"/>
        <v>3268100.728</v>
      </c>
      <c r="J48" s="113">
        <f t="shared" si="12"/>
        <v>3594910.8</v>
      </c>
      <c r="K48" s="113">
        <f t="shared" si="12"/>
        <v>3954401.88</v>
      </c>
      <c r="L48" s="114">
        <f>K48*(1+B45)/(B44-B45)</f>
        <v>58186199.1</v>
      </c>
    </row>
    <row r="49" ht="15.75" customHeight="1">
      <c r="A49" s="99" t="s">
        <v>371</v>
      </c>
      <c r="B49" s="115">
        <f t="shared" ref="B49:K49" si="13">(1+$B$44)^(B47-2024)</f>
        <v>1.1</v>
      </c>
      <c r="C49" s="115">
        <f t="shared" si="13"/>
        <v>1.21</v>
      </c>
      <c r="D49" s="115">
        <f t="shared" si="13"/>
        <v>1.331</v>
      </c>
      <c r="E49" s="115">
        <f t="shared" si="13"/>
        <v>1.4641</v>
      </c>
      <c r="F49" s="115">
        <f t="shared" si="13"/>
        <v>1.61051</v>
      </c>
      <c r="G49" s="115">
        <f t="shared" si="13"/>
        <v>1.771561</v>
      </c>
      <c r="H49" s="115">
        <f t="shared" si="13"/>
        <v>1.9487171</v>
      </c>
      <c r="I49" s="115">
        <f t="shared" si="13"/>
        <v>2.14358881</v>
      </c>
      <c r="J49" s="115">
        <f t="shared" si="13"/>
        <v>2.357947691</v>
      </c>
      <c r="K49" s="115">
        <f t="shared" si="13"/>
        <v>2.59374246</v>
      </c>
      <c r="L49" s="116">
        <f>(1+$B44)^10</f>
        <v>2.59374246</v>
      </c>
    </row>
    <row r="50" ht="15.75" customHeight="1">
      <c r="A50" s="99" t="s">
        <v>372</v>
      </c>
      <c r="B50" s="88">
        <f t="shared" ref="B50:L50" si="14">B48/B49</f>
        <v>429867.2401</v>
      </c>
      <c r="C50" s="88">
        <f t="shared" si="14"/>
        <v>530156.4651</v>
      </c>
      <c r="D50" s="88">
        <f t="shared" si="14"/>
        <v>762094.25</v>
      </c>
      <c r="E50" s="88">
        <f t="shared" si="14"/>
        <v>1051414.453</v>
      </c>
      <c r="F50" s="88">
        <f t="shared" si="14"/>
        <v>1341641.936</v>
      </c>
      <c r="G50" s="88">
        <f t="shared" si="14"/>
        <v>1524593.109</v>
      </c>
      <c r="H50" s="88">
        <f t="shared" si="14"/>
        <v>1524593.109</v>
      </c>
      <c r="I50" s="88">
        <f t="shared" si="14"/>
        <v>1524593.109</v>
      </c>
      <c r="J50" s="88">
        <f t="shared" si="14"/>
        <v>1524593.109</v>
      </c>
      <c r="K50" s="88">
        <f t="shared" si="14"/>
        <v>1524593.109</v>
      </c>
      <c r="L50" s="114">
        <f t="shared" si="14"/>
        <v>22433298.6</v>
      </c>
    </row>
    <row r="51" ht="15.75" customHeight="1">
      <c r="A51" s="99"/>
      <c r="B51" s="93"/>
      <c r="C51" s="93"/>
      <c r="D51" s="93"/>
      <c r="E51" s="93"/>
      <c r="F51" s="90"/>
      <c r="L51" s="98"/>
    </row>
    <row r="52" ht="15.75" customHeight="1">
      <c r="A52" s="85" t="s">
        <v>373</v>
      </c>
      <c r="B52" s="88">
        <f>sum(B50:L50)</f>
        <v>34171438.49</v>
      </c>
      <c r="C52" s="117"/>
      <c r="D52" s="91" t="s">
        <v>374</v>
      </c>
      <c r="E52" s="118">
        <f>IFERROR(__xludf.DUMMYFUNCTION("GOOGLEFINANCE(""CRWD"", ""price"")"),453.77)</f>
        <v>453.77</v>
      </c>
      <c r="F52" s="90"/>
      <c r="L52" s="98"/>
    </row>
    <row r="53" ht="15.75" customHeight="1">
      <c r="A53" s="99" t="s">
        <v>375</v>
      </c>
      <c r="B53" s="88">
        <f>'Balance Sheet'!$H$5</f>
        <v>3850752.066</v>
      </c>
      <c r="C53" s="90"/>
      <c r="D53" s="53" t="s">
        <v>376</v>
      </c>
      <c r="E53" s="118">
        <f>B55*1000/E44</f>
        <v>152.7856416</v>
      </c>
      <c r="F53" s="90"/>
      <c r="L53" s="98"/>
    </row>
    <row r="54" ht="15.75" customHeight="1">
      <c r="A54" s="99" t="s">
        <v>377</v>
      </c>
      <c r="B54" s="88">
        <f>'Balance Sheet'!$H$29</f>
        <v>742494</v>
      </c>
      <c r="C54" s="90"/>
      <c r="D54" s="53" t="s">
        <v>378</v>
      </c>
      <c r="E54" s="5">
        <f>E53/E52-1</f>
        <v>-0.6632971734</v>
      </c>
      <c r="F54" s="93"/>
      <c r="L54" s="98"/>
    </row>
    <row r="55" ht="15.75" customHeight="1">
      <c r="A55" s="105" t="s">
        <v>379</v>
      </c>
      <c r="B55" s="106">
        <f>B52+B53-B54</f>
        <v>37279696.55</v>
      </c>
      <c r="C55" s="119"/>
      <c r="D55" s="119"/>
      <c r="E55" s="119"/>
      <c r="F55" s="119"/>
      <c r="G55" s="6"/>
      <c r="H55" s="6"/>
      <c r="I55" s="6"/>
      <c r="J55" s="6"/>
      <c r="K55" s="6"/>
      <c r="L55" s="107"/>
    </row>
    <row r="56" ht="15.75" customHeight="1">
      <c r="A56" s="93"/>
      <c r="B56" s="93"/>
      <c r="C56" s="93"/>
      <c r="D56" s="93"/>
      <c r="E56" s="93"/>
      <c r="F56" s="93"/>
      <c r="L56" s="93"/>
    </row>
    <row r="57" ht="15.75" customHeight="1">
      <c r="A57" s="108" t="s">
        <v>126</v>
      </c>
      <c r="B57" s="109"/>
      <c r="C57" s="109"/>
      <c r="D57" s="109"/>
      <c r="E57" s="109"/>
      <c r="F57" s="109"/>
      <c r="G57" s="12"/>
      <c r="H57" s="12"/>
      <c r="I57" s="12"/>
      <c r="J57" s="12"/>
      <c r="K57" s="12"/>
      <c r="L57" s="111"/>
    </row>
    <row r="58" ht="15.75" customHeight="1">
      <c r="A58" s="85" t="s">
        <v>366</v>
      </c>
      <c r="B58" s="5">
        <v>0.093</v>
      </c>
      <c r="C58" s="93"/>
      <c r="D58" s="53" t="s">
        <v>367</v>
      </c>
      <c r="E58" s="88">
        <v>2.44E8</v>
      </c>
      <c r="F58" s="90"/>
      <c r="G58" s="3" t="s">
        <v>368</v>
      </c>
      <c r="L58" s="98"/>
    </row>
    <row r="59" ht="15.75" customHeight="1">
      <c r="A59" s="85" t="s">
        <v>369</v>
      </c>
      <c r="B59" s="5">
        <v>0.03</v>
      </c>
      <c r="C59" s="90"/>
      <c r="D59" s="90"/>
      <c r="E59" s="90"/>
      <c r="F59" s="90"/>
      <c r="G59" s="2">
        <v>0.2</v>
      </c>
      <c r="L59" s="98"/>
    </row>
    <row r="60" ht="15.75" customHeight="1">
      <c r="A60" s="99"/>
      <c r="B60" s="93"/>
      <c r="C60" s="93"/>
      <c r="D60" s="93"/>
      <c r="E60" s="93"/>
      <c r="F60" s="93"/>
      <c r="K60" s="2"/>
      <c r="L60" s="98"/>
    </row>
    <row r="61" ht="15.75" customHeight="1">
      <c r="A61" s="99"/>
      <c r="B61" s="96">
        <v>2025.0</v>
      </c>
      <c r="C61" s="96">
        <v>2026.0</v>
      </c>
      <c r="D61" s="96">
        <v>2027.0</v>
      </c>
      <c r="E61" s="96">
        <v>2028.0</v>
      </c>
      <c r="F61" s="96">
        <v>2029.0</v>
      </c>
      <c r="G61" s="103">
        <f t="shared" ref="G61:K61" si="15">F61+1</f>
        <v>2030</v>
      </c>
      <c r="H61" s="103">
        <f t="shared" si="15"/>
        <v>2031</v>
      </c>
      <c r="I61" s="103">
        <f t="shared" si="15"/>
        <v>2032</v>
      </c>
      <c r="J61" s="103">
        <f t="shared" si="15"/>
        <v>2033</v>
      </c>
      <c r="K61" s="1">
        <f t="shared" si="15"/>
        <v>2034</v>
      </c>
      <c r="L61" s="112" t="s">
        <v>370</v>
      </c>
    </row>
    <row r="62" ht="15.75" customHeight="1">
      <c r="A62" s="85" t="s">
        <v>365</v>
      </c>
      <c r="B62" s="88">
        <f>$B$27</f>
        <v>497741.0148</v>
      </c>
      <c r="C62" s="88">
        <f>$C$27</f>
        <v>675251.9187</v>
      </c>
      <c r="D62" s="88">
        <f>$D$27</f>
        <v>1067734.155</v>
      </c>
      <c r="E62" s="88">
        <f>$E$27</f>
        <v>1620395.685</v>
      </c>
      <c r="F62" s="88">
        <f>$F$27</f>
        <v>2274450.267</v>
      </c>
      <c r="G62" s="113">
        <f>F62*1.25</f>
        <v>2843062.834</v>
      </c>
      <c r="H62" s="113">
        <f t="shared" ref="H62:K62" si="16">(G62)*(1+$G$59)</f>
        <v>3411675.401</v>
      </c>
      <c r="I62" s="113">
        <f t="shared" si="16"/>
        <v>4094010.481</v>
      </c>
      <c r="J62" s="113">
        <f t="shared" si="16"/>
        <v>4912812.577</v>
      </c>
      <c r="K62" s="113">
        <f t="shared" si="16"/>
        <v>5895375.093</v>
      </c>
      <c r="L62" s="114">
        <f>(K62*(1+B59))/(B58-B59)</f>
        <v>96384703.89</v>
      </c>
    </row>
    <row r="63" ht="15.75" customHeight="1">
      <c r="A63" s="99" t="s">
        <v>371</v>
      </c>
      <c r="B63" s="115">
        <f t="shared" ref="B63:K63" si="17">(1+$B$58)^(B61-2024)</f>
        <v>1.093</v>
      </c>
      <c r="C63" s="115">
        <f t="shared" si="17"/>
        <v>1.194649</v>
      </c>
      <c r="D63" s="115">
        <f t="shared" si="17"/>
        <v>1.305751357</v>
      </c>
      <c r="E63" s="115">
        <f t="shared" si="17"/>
        <v>1.427186233</v>
      </c>
      <c r="F63" s="115">
        <f t="shared" si="17"/>
        <v>1.559914553</v>
      </c>
      <c r="G63" s="115">
        <f t="shared" si="17"/>
        <v>1.704986606</v>
      </c>
      <c r="H63" s="115">
        <f t="shared" si="17"/>
        <v>1.863550361</v>
      </c>
      <c r="I63" s="115">
        <f t="shared" si="17"/>
        <v>2.036860544</v>
      </c>
      <c r="J63" s="115">
        <f t="shared" si="17"/>
        <v>2.226288575</v>
      </c>
      <c r="K63" s="115">
        <f t="shared" si="17"/>
        <v>2.433333412</v>
      </c>
      <c r="L63" s="116">
        <f>K63</f>
        <v>2.433333412</v>
      </c>
    </row>
    <row r="64" ht="15.75" customHeight="1">
      <c r="A64" s="99" t="s">
        <v>372</v>
      </c>
      <c r="B64" s="88">
        <f t="shared" ref="B64:L64" si="18">B62/B63</f>
        <v>455389.7666</v>
      </c>
      <c r="C64" s="88">
        <f t="shared" si="18"/>
        <v>565230.3888</v>
      </c>
      <c r="D64" s="88">
        <f t="shared" si="18"/>
        <v>817716.2894</v>
      </c>
      <c r="E64" s="88">
        <f t="shared" si="18"/>
        <v>1135377.884</v>
      </c>
      <c r="F64" s="88">
        <f t="shared" si="18"/>
        <v>1458060.804</v>
      </c>
      <c r="G64" s="88">
        <f t="shared" si="18"/>
        <v>1667498.632</v>
      </c>
      <c r="H64" s="88">
        <f t="shared" si="18"/>
        <v>1830739.578</v>
      </c>
      <c r="I64" s="88">
        <f t="shared" si="18"/>
        <v>2009961.11</v>
      </c>
      <c r="J64" s="88">
        <f t="shared" si="18"/>
        <v>2206727.66</v>
      </c>
      <c r="K64" s="88">
        <f t="shared" si="18"/>
        <v>2422756.809</v>
      </c>
      <c r="L64" s="114">
        <f t="shared" si="18"/>
        <v>39610151</v>
      </c>
    </row>
    <row r="65" ht="15.75" customHeight="1">
      <c r="A65" s="99"/>
      <c r="B65" s="93"/>
      <c r="C65" s="93"/>
      <c r="D65" s="93"/>
      <c r="E65" s="93"/>
      <c r="F65" s="90"/>
      <c r="L65" s="98"/>
    </row>
    <row r="66" ht="15.75" customHeight="1">
      <c r="A66" s="85" t="s">
        <v>373</v>
      </c>
      <c r="B66" s="88">
        <f>sum(B64:L64)</f>
        <v>54179609.92</v>
      </c>
      <c r="C66" s="117"/>
      <c r="D66" s="91" t="s">
        <v>374</v>
      </c>
      <c r="E66" s="118">
        <f>IFERROR(__xludf.DUMMYFUNCTION("GOOGLEFINANCE(""CRWD"", ""price"")"),453.77)</f>
        <v>453.77</v>
      </c>
      <c r="F66" s="90"/>
      <c r="L66" s="98"/>
    </row>
    <row r="67" ht="15.75" customHeight="1">
      <c r="A67" s="99" t="s">
        <v>375</v>
      </c>
      <c r="B67" s="88">
        <f>'Balance Sheet'!$H$5</f>
        <v>3850752.066</v>
      </c>
      <c r="C67" s="90"/>
      <c r="D67" s="53" t="s">
        <v>376</v>
      </c>
      <c r="E67" s="118">
        <f>B69*1000/E58</f>
        <v>234.7863442</v>
      </c>
      <c r="F67" s="90"/>
      <c r="L67" s="98"/>
    </row>
    <row r="68" ht="15.75" customHeight="1">
      <c r="A68" s="99" t="s">
        <v>377</v>
      </c>
      <c r="B68" s="88">
        <f>'Balance Sheet'!$H$29</f>
        <v>742494</v>
      </c>
      <c r="C68" s="90"/>
      <c r="D68" s="53" t="s">
        <v>378</v>
      </c>
      <c r="E68" s="5">
        <f>E67/E66-1</f>
        <v>-0.4825873367</v>
      </c>
      <c r="F68" s="93"/>
      <c r="L68" s="98"/>
    </row>
    <row r="69" ht="15.75" customHeight="1">
      <c r="A69" s="105" t="s">
        <v>379</v>
      </c>
      <c r="B69" s="106">
        <f>B66+B67-B68</f>
        <v>57287867.99</v>
      </c>
      <c r="C69" s="119"/>
      <c r="D69" s="119"/>
      <c r="E69" s="119"/>
      <c r="F69" s="119"/>
      <c r="G69" s="6"/>
      <c r="H69" s="6"/>
      <c r="I69" s="6"/>
      <c r="J69" s="6"/>
      <c r="K69" s="6"/>
      <c r="L69" s="107"/>
    </row>
    <row r="70" ht="15.75" customHeight="1">
      <c r="A70" s="93"/>
      <c r="B70" s="120"/>
      <c r="C70" s="93"/>
      <c r="D70" s="93"/>
      <c r="E70" s="93"/>
      <c r="F70" s="93"/>
      <c r="L70" s="93"/>
    </row>
    <row r="71" ht="15.75" customHeight="1">
      <c r="A71" s="108" t="s">
        <v>127</v>
      </c>
      <c r="B71" s="109"/>
      <c r="C71" s="109"/>
      <c r="D71" s="109"/>
      <c r="E71" s="109"/>
      <c r="F71" s="109"/>
      <c r="G71" s="12"/>
      <c r="H71" s="12"/>
      <c r="I71" s="12"/>
      <c r="J71" s="12"/>
      <c r="K71" s="12"/>
      <c r="L71" s="111"/>
    </row>
    <row r="72" ht="15.75" customHeight="1">
      <c r="A72" s="85" t="s">
        <v>366</v>
      </c>
      <c r="B72" s="5">
        <v>0.0825</v>
      </c>
      <c r="C72" s="93"/>
      <c r="D72" s="53" t="s">
        <v>381</v>
      </c>
      <c r="E72" s="88">
        <v>2.44E8</v>
      </c>
      <c r="F72" s="90"/>
      <c r="L72" s="98"/>
    </row>
    <row r="73" ht="15.75" customHeight="1">
      <c r="A73" s="85" t="s">
        <v>369</v>
      </c>
      <c r="B73" s="5">
        <v>0.03</v>
      </c>
      <c r="C73" s="90"/>
      <c r="D73" s="90"/>
      <c r="E73" s="90"/>
      <c r="F73" s="90"/>
      <c r="G73" s="3" t="s">
        <v>368</v>
      </c>
      <c r="L73" s="98"/>
    </row>
    <row r="74" ht="15.75" customHeight="1">
      <c r="A74" s="99"/>
      <c r="B74" s="93"/>
      <c r="C74" s="93"/>
      <c r="D74" s="93"/>
      <c r="E74" s="93"/>
      <c r="F74" s="93"/>
      <c r="G74" s="2">
        <v>0.33</v>
      </c>
      <c r="K74" s="2"/>
      <c r="L74" s="98"/>
    </row>
    <row r="75" ht="15.75" customHeight="1">
      <c r="A75" s="99"/>
      <c r="B75" s="96">
        <v>2025.0</v>
      </c>
      <c r="C75" s="96">
        <v>2026.0</v>
      </c>
      <c r="D75" s="96">
        <v>2027.0</v>
      </c>
      <c r="E75" s="96">
        <v>2028.0</v>
      </c>
      <c r="F75" s="96">
        <v>2029.0</v>
      </c>
      <c r="G75" s="103">
        <f t="shared" ref="G75:K75" si="19">F75+1</f>
        <v>2030</v>
      </c>
      <c r="H75" s="103">
        <f t="shared" si="19"/>
        <v>2031</v>
      </c>
      <c r="I75" s="103">
        <f t="shared" si="19"/>
        <v>2032</v>
      </c>
      <c r="J75" s="103">
        <f t="shared" si="19"/>
        <v>2033</v>
      </c>
      <c r="K75" s="1">
        <f t="shared" si="19"/>
        <v>2034</v>
      </c>
      <c r="L75" s="112" t="s">
        <v>370</v>
      </c>
    </row>
    <row r="76" ht="15.75" customHeight="1">
      <c r="A76" s="85" t="s">
        <v>365</v>
      </c>
      <c r="B76" s="88">
        <f>$B$27</f>
        <v>497741.0148</v>
      </c>
      <c r="C76" s="88">
        <f>$C$27</f>
        <v>675251.9187</v>
      </c>
      <c r="D76" s="88">
        <f>$D$27</f>
        <v>1067734.155</v>
      </c>
      <c r="E76" s="88">
        <f>$E$27</f>
        <v>1620395.685</v>
      </c>
      <c r="F76" s="88">
        <f>$F$27</f>
        <v>2274450.267</v>
      </c>
      <c r="G76" s="113">
        <f>F76*1.25</f>
        <v>2843062.834</v>
      </c>
      <c r="H76" s="113">
        <f t="shared" ref="H76:K76" si="20">(G76)*(1+$G$74)</f>
        <v>3781273.569</v>
      </c>
      <c r="I76" s="113">
        <f t="shared" si="20"/>
        <v>5029093.847</v>
      </c>
      <c r="J76" s="113">
        <f t="shared" si="20"/>
        <v>6688694.817</v>
      </c>
      <c r="K76" s="113">
        <f t="shared" si="20"/>
        <v>8895964.106</v>
      </c>
      <c r="L76" s="114">
        <f>K76*(1+B73)/(B72-B73)</f>
        <v>174530343.4</v>
      </c>
    </row>
    <row r="77" ht="15.75" customHeight="1">
      <c r="A77" s="99" t="s">
        <v>371</v>
      </c>
      <c r="B77" s="115">
        <f>(1+$B$30)^1</f>
        <v>1.0895</v>
      </c>
      <c r="C77" s="115">
        <f>(1+$B$30)^2</f>
        <v>1.18701025</v>
      </c>
      <c r="D77" s="115">
        <f>(1+$B$30)^3</f>
        <v>1.293247667</v>
      </c>
      <c r="E77" s="115">
        <f>(1+$B$30)^4</f>
        <v>1.408993334</v>
      </c>
      <c r="F77" s="115">
        <f>(1+$B$30)^5</f>
        <v>1.535098237</v>
      </c>
      <c r="G77" s="115">
        <f t="shared" ref="G77:K77" si="21">(1+$B$30)^(G75-2024)</f>
        <v>1.672489529</v>
      </c>
      <c r="H77" s="115">
        <f t="shared" si="21"/>
        <v>1.822177342</v>
      </c>
      <c r="I77" s="115">
        <f t="shared" si="21"/>
        <v>1.985262214</v>
      </c>
      <c r="J77" s="115">
        <f t="shared" si="21"/>
        <v>2.162943182</v>
      </c>
      <c r="K77" s="115">
        <f t="shared" si="21"/>
        <v>2.356526597</v>
      </c>
      <c r="L77" s="115">
        <f>K77</f>
        <v>2.356526597</v>
      </c>
    </row>
    <row r="78" ht="15.75" customHeight="1">
      <c r="A78" s="99" t="s">
        <v>372</v>
      </c>
      <c r="B78" s="88">
        <f t="shared" ref="B78:L78" si="22">B76/B77</f>
        <v>456852.6983</v>
      </c>
      <c r="C78" s="88">
        <f t="shared" si="22"/>
        <v>568867.8077</v>
      </c>
      <c r="D78" s="88">
        <f t="shared" si="22"/>
        <v>825622.3316</v>
      </c>
      <c r="E78" s="88">
        <f t="shared" si="22"/>
        <v>1150037.865</v>
      </c>
      <c r="F78" s="88">
        <f t="shared" si="22"/>
        <v>1481631.737</v>
      </c>
      <c r="G78" s="88">
        <f t="shared" si="22"/>
        <v>1699898.734</v>
      </c>
      <c r="H78" s="88">
        <f t="shared" si="22"/>
        <v>2075140.263</v>
      </c>
      <c r="I78" s="88">
        <f t="shared" si="22"/>
        <v>2533213.906</v>
      </c>
      <c r="J78" s="88">
        <f t="shared" si="22"/>
        <v>3092404.309</v>
      </c>
      <c r="K78" s="88">
        <f t="shared" si="22"/>
        <v>3775032.337</v>
      </c>
      <c r="L78" s="114">
        <f t="shared" si="22"/>
        <v>74062539.17</v>
      </c>
    </row>
    <row r="79" ht="15.75" customHeight="1">
      <c r="A79" s="99"/>
      <c r="B79" s="93"/>
      <c r="C79" s="93"/>
      <c r="D79" s="93"/>
      <c r="E79" s="93"/>
      <c r="F79" s="90"/>
      <c r="L79" s="98"/>
    </row>
    <row r="80" ht="15.75" customHeight="1">
      <c r="A80" s="85" t="s">
        <v>373</v>
      </c>
      <c r="B80" s="88">
        <f>sum(B78:L78)</f>
        <v>91721241.16</v>
      </c>
      <c r="C80" s="117"/>
      <c r="D80" s="91" t="s">
        <v>374</v>
      </c>
      <c r="E80" s="118">
        <f>IFERROR(__xludf.DUMMYFUNCTION("GOOGLEFINANCE(""CRWD"", ""price"")"),453.77)</f>
        <v>453.77</v>
      </c>
      <c r="F80" s="90"/>
      <c r="L80" s="98"/>
    </row>
    <row r="81" ht="15.75" customHeight="1">
      <c r="A81" s="99" t="s">
        <v>375</v>
      </c>
      <c r="B81" s="88">
        <f>'Balance Sheet'!$H$5</f>
        <v>3850752.066</v>
      </c>
      <c r="C81" s="90"/>
      <c r="D81" s="53" t="s">
        <v>376</v>
      </c>
      <c r="E81" s="118">
        <f>B83*1000/E72</f>
        <v>388.6454886</v>
      </c>
      <c r="F81" s="90"/>
      <c r="L81" s="98"/>
    </row>
    <row r="82" ht="15.75" customHeight="1">
      <c r="A82" s="99" t="s">
        <v>377</v>
      </c>
      <c r="B82" s="88">
        <f>'Balance Sheet'!$H$29</f>
        <v>742494</v>
      </c>
      <c r="C82" s="90"/>
      <c r="D82" s="53" t="s">
        <v>378</v>
      </c>
      <c r="E82" s="5">
        <f>E81/E80-1</f>
        <v>-0.143518768</v>
      </c>
      <c r="F82" s="93"/>
      <c r="L82" s="98"/>
    </row>
    <row r="83" ht="15.75" customHeight="1">
      <c r="A83" s="105" t="s">
        <v>379</v>
      </c>
      <c r="B83" s="106">
        <f>B80+B81-B82</f>
        <v>94829499.23</v>
      </c>
      <c r="C83" s="119"/>
      <c r="D83" s="119"/>
      <c r="E83" s="119"/>
      <c r="F83" s="119"/>
      <c r="G83" s="6"/>
      <c r="H83" s="6"/>
      <c r="I83" s="6"/>
      <c r="J83" s="6"/>
      <c r="K83" s="6"/>
      <c r="L83" s="107"/>
    </row>
    <row r="84" ht="15.75" customHeight="1">
      <c r="A84" s="93"/>
      <c r="B84" s="93"/>
      <c r="C84" s="93"/>
      <c r="D84" s="93"/>
      <c r="E84" s="93"/>
      <c r="F84" s="93"/>
      <c r="L84" s="93"/>
    </row>
    <row r="85" ht="15.75" customHeight="1">
      <c r="A85" s="108" t="s">
        <v>382</v>
      </c>
      <c r="B85" s="109"/>
      <c r="C85" s="109"/>
      <c r="D85" s="109"/>
      <c r="E85" s="109"/>
      <c r="F85" s="109"/>
      <c r="G85" s="12"/>
      <c r="H85" s="12"/>
      <c r="I85" s="12"/>
      <c r="J85" s="12"/>
      <c r="K85" s="12"/>
      <c r="L85" s="111"/>
    </row>
    <row r="86" ht="15.75" customHeight="1">
      <c r="A86" s="85" t="s">
        <v>366</v>
      </c>
      <c r="B86" s="5">
        <v>0.08</v>
      </c>
      <c r="C86" s="93"/>
      <c r="D86" s="53" t="s">
        <v>381</v>
      </c>
      <c r="E86" s="88">
        <v>2.44E8</v>
      </c>
      <c r="F86" s="90"/>
      <c r="G86" s="3" t="s">
        <v>368</v>
      </c>
      <c r="L86" s="98"/>
    </row>
    <row r="87" ht="15.75" customHeight="1">
      <c r="A87" s="85" t="s">
        <v>369</v>
      </c>
      <c r="B87" s="5">
        <v>0.03</v>
      </c>
      <c r="C87" s="90"/>
      <c r="D87" s="90"/>
      <c r="E87" s="90"/>
      <c r="F87" s="90"/>
      <c r="G87" s="2">
        <v>0.35</v>
      </c>
      <c r="L87" s="98"/>
    </row>
    <row r="88" ht="15.75" customHeight="1">
      <c r="A88" s="99"/>
      <c r="B88" s="93"/>
      <c r="C88" s="93"/>
      <c r="D88" s="93"/>
      <c r="E88" s="93"/>
      <c r="F88" s="93"/>
      <c r="K88" s="2"/>
      <c r="L88" s="98"/>
    </row>
    <row r="89" ht="15.75" customHeight="1">
      <c r="A89" s="99"/>
      <c r="B89" s="96">
        <v>2025.0</v>
      </c>
      <c r="C89" s="96">
        <v>2026.0</v>
      </c>
      <c r="D89" s="96">
        <v>2027.0</v>
      </c>
      <c r="E89" s="96">
        <v>2028.0</v>
      </c>
      <c r="F89" s="96">
        <v>2029.0</v>
      </c>
      <c r="G89" s="103">
        <f t="shared" ref="G89:K89" si="23">F89+1</f>
        <v>2030</v>
      </c>
      <c r="H89" s="103">
        <f t="shared" si="23"/>
        <v>2031</v>
      </c>
      <c r="I89" s="103">
        <f t="shared" si="23"/>
        <v>2032</v>
      </c>
      <c r="J89" s="103">
        <f t="shared" si="23"/>
        <v>2033</v>
      </c>
      <c r="K89" s="1">
        <f t="shared" si="23"/>
        <v>2034</v>
      </c>
      <c r="L89" s="112" t="s">
        <v>370</v>
      </c>
    </row>
    <row r="90" ht="15.75" customHeight="1">
      <c r="A90" s="85" t="s">
        <v>365</v>
      </c>
      <c r="B90" s="88">
        <f>$B$27</f>
        <v>497741.0148</v>
      </c>
      <c r="C90" s="88">
        <f>$C$27</f>
        <v>675251.9187</v>
      </c>
      <c r="D90" s="88">
        <f>$D$27</f>
        <v>1067734.155</v>
      </c>
      <c r="E90" s="88">
        <f>$E$27</f>
        <v>1620395.685</v>
      </c>
      <c r="F90" s="88">
        <f>$F$27</f>
        <v>2274450.267</v>
      </c>
      <c r="G90" s="113">
        <f>F90*1.25</f>
        <v>2843062.834</v>
      </c>
      <c r="H90" s="113">
        <f t="shared" ref="H90:K90" si="24">(G90)*(1+$G$87)</f>
        <v>3838134.826</v>
      </c>
      <c r="I90" s="113">
        <f t="shared" si="24"/>
        <v>5181482.015</v>
      </c>
      <c r="J90" s="113">
        <f t="shared" si="24"/>
        <v>6995000.72</v>
      </c>
      <c r="K90" s="113">
        <f t="shared" si="24"/>
        <v>9443250.972</v>
      </c>
      <c r="L90" s="114">
        <f>K90*(1+B87)/(B86-B87)</f>
        <v>194530970</v>
      </c>
    </row>
    <row r="91" ht="15.75" customHeight="1">
      <c r="A91" s="99" t="s">
        <v>371</v>
      </c>
      <c r="B91" s="115">
        <f>(1+$B$86)^1</f>
        <v>1.08</v>
      </c>
      <c r="C91" s="115">
        <f t="shared" ref="C91:J91" si="25">(1+$B$86)^(C89-2024)</f>
        <v>1.1664</v>
      </c>
      <c r="D91" s="115">
        <f t="shared" si="25"/>
        <v>1.259712</v>
      </c>
      <c r="E91" s="115">
        <f t="shared" si="25"/>
        <v>1.36048896</v>
      </c>
      <c r="F91" s="115">
        <f t="shared" si="25"/>
        <v>1.469328077</v>
      </c>
      <c r="G91" s="115">
        <f t="shared" si="25"/>
        <v>1.586874323</v>
      </c>
      <c r="H91" s="115">
        <f t="shared" si="25"/>
        <v>1.713824269</v>
      </c>
      <c r="I91" s="115">
        <f t="shared" si="25"/>
        <v>1.85093021</v>
      </c>
      <c r="J91" s="115">
        <f t="shared" si="25"/>
        <v>1.999004627</v>
      </c>
      <c r="K91" s="115">
        <f>(1+$B$86)^(2034-2024)</f>
        <v>2.158924997</v>
      </c>
      <c r="L91" s="115">
        <f>K91</f>
        <v>2.158924997</v>
      </c>
    </row>
    <row r="92" ht="15.75" customHeight="1">
      <c r="A92" s="99" t="s">
        <v>372</v>
      </c>
      <c r="B92" s="88">
        <f t="shared" ref="B92:L92" si="26">B90/B91</f>
        <v>460871.31</v>
      </c>
      <c r="C92" s="88">
        <f t="shared" si="26"/>
        <v>578919.6834</v>
      </c>
      <c r="D92" s="88">
        <f t="shared" si="26"/>
        <v>847601.7967</v>
      </c>
      <c r="E92" s="88">
        <f t="shared" si="26"/>
        <v>1191039.202</v>
      </c>
      <c r="F92" s="88">
        <f t="shared" si="26"/>
        <v>1547952.634</v>
      </c>
      <c r="G92" s="88">
        <f t="shared" si="26"/>
        <v>1791611.845</v>
      </c>
      <c r="H92" s="88">
        <f t="shared" si="26"/>
        <v>2239514.807</v>
      </c>
      <c r="I92" s="88">
        <f t="shared" si="26"/>
        <v>2799393.508</v>
      </c>
      <c r="J92" s="88">
        <f t="shared" si="26"/>
        <v>3499241.885</v>
      </c>
      <c r="K92" s="88">
        <f t="shared" si="26"/>
        <v>4374052.357</v>
      </c>
      <c r="L92" s="114">
        <f t="shared" si="26"/>
        <v>90105478.55</v>
      </c>
    </row>
    <row r="93" ht="15.75" customHeight="1">
      <c r="A93" s="99"/>
      <c r="B93" s="93"/>
      <c r="C93" s="93"/>
      <c r="D93" s="93"/>
      <c r="E93" s="93"/>
      <c r="F93" s="90"/>
      <c r="L93" s="98"/>
    </row>
    <row r="94" ht="15.75" customHeight="1">
      <c r="A94" s="85" t="s">
        <v>373</v>
      </c>
      <c r="B94" s="88">
        <f>sum(B92:L92)</f>
        <v>109435677.6</v>
      </c>
      <c r="C94" s="117"/>
      <c r="D94" s="91" t="s">
        <v>374</v>
      </c>
      <c r="E94" s="118">
        <f>IFERROR(__xludf.DUMMYFUNCTION("GOOGLEFINANCE(""CRWD"", ""price"")"),453.77)</f>
        <v>453.77</v>
      </c>
      <c r="F94" s="90"/>
      <c r="L94" s="98"/>
    </row>
    <row r="95" ht="15.75" customHeight="1">
      <c r="A95" s="99" t="s">
        <v>375</v>
      </c>
      <c r="B95" s="88">
        <f>'Balance Sheet'!$H$5</f>
        <v>3850752.066</v>
      </c>
      <c r="C95" s="90"/>
      <c r="D95" s="53" t="s">
        <v>376</v>
      </c>
      <c r="E95" s="118">
        <f>B97*1000/E86</f>
        <v>461.2456379</v>
      </c>
      <c r="F95" s="90"/>
      <c r="L95" s="98"/>
    </row>
    <row r="96" ht="15.75" customHeight="1">
      <c r="A96" s="99" t="s">
        <v>377</v>
      </c>
      <c r="B96" s="88">
        <f>'Balance Sheet'!$H$29</f>
        <v>742494</v>
      </c>
      <c r="C96" s="90"/>
      <c r="D96" s="53" t="s">
        <v>378</v>
      </c>
      <c r="E96" s="5">
        <f>E95/E94-1</f>
        <v>0.01647450885</v>
      </c>
      <c r="F96" s="93"/>
      <c r="L96" s="98"/>
    </row>
    <row r="97" ht="15.75" customHeight="1">
      <c r="A97" s="105" t="s">
        <v>379</v>
      </c>
      <c r="B97" s="106">
        <f>B94+B95-B96</f>
        <v>112543935.6</v>
      </c>
      <c r="C97" s="119"/>
      <c r="D97" s="119"/>
      <c r="E97" s="119"/>
      <c r="F97" s="119"/>
      <c r="G97" s="6"/>
      <c r="H97" s="6"/>
      <c r="I97" s="6"/>
      <c r="J97" s="6"/>
      <c r="K97" s="6"/>
      <c r="L97" s="107"/>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2.63" defaultRowHeight="15.0"/>
  <sheetData>
    <row r="1" ht="15.75" customHeight="1">
      <c r="A1" s="1" t="s">
        <v>324</v>
      </c>
      <c r="K1" s="75" t="s">
        <v>383</v>
      </c>
    </row>
    <row r="2" ht="15.75" customHeight="1">
      <c r="K2" s="75">
        <f>sum(K4:K7)</f>
        <v>0.000000001862645149</v>
      </c>
      <c r="L2" s="3" t="s">
        <v>162</v>
      </c>
    </row>
    <row r="3" ht="15.75" customHeight="1">
      <c r="K3" s="77"/>
    </row>
    <row r="4" ht="15.75" customHeight="1">
      <c r="K4" s="121">
        <f>sum('Balance Sheet'!H45:L45)</f>
        <v>0.000000001862645149</v>
      </c>
      <c r="L4" s="3" t="s">
        <v>384</v>
      </c>
    </row>
    <row r="5" ht="15.75" customHeight="1">
      <c r="K5" s="121"/>
      <c r="L5" s="3" t="s">
        <v>385</v>
      </c>
    </row>
    <row r="6" ht="15.75" customHeight="1">
      <c r="K6" s="121"/>
      <c r="L6" s="3" t="s">
        <v>386</v>
      </c>
    </row>
    <row r="7" ht="15.75" customHeight="1">
      <c r="K7" s="77"/>
    </row>
    <row r="8" ht="15.75" customHeight="1">
      <c r="K8" s="77"/>
    </row>
    <row r="9" ht="15.75" customHeight="1">
      <c r="K9" s="77"/>
    </row>
    <row r="10" ht="15.75" customHeight="1">
      <c r="A10" s="77"/>
    </row>
    <row r="11" ht="15.75" customHeight="1">
      <c r="A11" s="77"/>
    </row>
    <row r="12" ht="15.75" customHeight="1">
      <c r="A12" s="77"/>
    </row>
    <row r="13" ht="15.75" customHeight="1">
      <c r="A13" s="77"/>
    </row>
    <row r="14" ht="15.75" customHeight="1">
      <c r="A14" s="77"/>
    </row>
    <row r="15" ht="15.75" customHeight="1">
      <c r="A15" s="77"/>
    </row>
    <row r="16" ht="15.75" customHeight="1">
      <c r="A16" s="77"/>
    </row>
    <row r="17" ht="15.75" customHeight="1">
      <c r="A17" s="77"/>
    </row>
    <row r="18" ht="15.75" customHeight="1">
      <c r="A18" s="77"/>
    </row>
    <row r="19" ht="15.75" customHeight="1">
      <c r="A19" s="77"/>
    </row>
    <row r="20" ht="15.75" customHeight="1">
      <c r="A20" s="77"/>
    </row>
    <row r="21" ht="15.75" customHeight="1">
      <c r="A21" s="77"/>
    </row>
    <row r="22" ht="15.75" customHeight="1">
      <c r="A22" s="77"/>
    </row>
    <row r="23" ht="15.75" customHeight="1">
      <c r="A23" s="77"/>
    </row>
    <row r="24" ht="15.75" customHeight="1">
      <c r="A24" s="77"/>
    </row>
    <row r="25" ht="15.75" customHeight="1">
      <c r="A25" s="77"/>
    </row>
    <row r="26" ht="15.75" customHeight="1">
      <c r="A26" s="77"/>
    </row>
    <row r="27" ht="15.75" customHeight="1">
      <c r="A27" s="77"/>
    </row>
    <row r="28" ht="15.75" customHeight="1">
      <c r="A28" s="77"/>
    </row>
    <row r="29" ht="15.75" customHeight="1">
      <c r="A29" s="77"/>
    </row>
    <row r="30" ht="15.75" customHeight="1">
      <c r="A30" s="77"/>
    </row>
    <row r="31" ht="15.75" customHeight="1">
      <c r="A31" s="77"/>
    </row>
    <row r="32" ht="15.75" customHeight="1">
      <c r="A32" s="77"/>
    </row>
    <row r="33" ht="15.75" customHeight="1">
      <c r="A33" s="77"/>
    </row>
    <row r="34" ht="15.75" customHeight="1">
      <c r="A34" s="77"/>
    </row>
    <row r="35" ht="15.75" customHeight="1">
      <c r="A35" s="77"/>
    </row>
    <row r="36" ht="15.75" customHeight="1">
      <c r="A36" s="77"/>
    </row>
    <row r="37" ht="15.75" customHeight="1">
      <c r="A37" s="77"/>
    </row>
    <row r="38" ht="15.75" customHeight="1">
      <c r="A38" s="77"/>
    </row>
    <row r="39" ht="15.75" customHeight="1">
      <c r="A39" s="77"/>
    </row>
    <row r="40" ht="15.75" customHeight="1">
      <c r="A40" s="77"/>
    </row>
    <row r="41" ht="15.75" customHeight="1">
      <c r="A41" s="77"/>
    </row>
    <row r="42" ht="15.75" customHeight="1">
      <c r="A42" s="77"/>
    </row>
    <row r="43" ht="15.75" customHeight="1">
      <c r="A43" s="77"/>
    </row>
    <row r="44" ht="15.75" customHeight="1">
      <c r="A44" s="77"/>
    </row>
    <row r="45" ht="15.75" customHeight="1">
      <c r="A45" s="77"/>
    </row>
    <row r="46" ht="15.75" customHeight="1">
      <c r="A46" s="77"/>
    </row>
    <row r="47" ht="15.75" customHeight="1">
      <c r="A47" s="77"/>
    </row>
    <row r="48" ht="15.75" customHeight="1">
      <c r="A48" s="77"/>
    </row>
    <row r="49" ht="15.75" customHeight="1">
      <c r="A49" s="77"/>
    </row>
    <row r="50" ht="15.75" customHeight="1">
      <c r="A50" s="77"/>
    </row>
    <row r="51" ht="15.75" customHeight="1">
      <c r="A51" s="77"/>
    </row>
    <row r="52" ht="15.75" customHeight="1">
      <c r="A52" s="77"/>
    </row>
    <row r="53" ht="15.75" customHeight="1">
      <c r="A53" s="77"/>
    </row>
    <row r="54" ht="15.75" customHeight="1">
      <c r="A54" s="77"/>
    </row>
    <row r="55" ht="15.75" customHeight="1">
      <c r="A55" s="77"/>
    </row>
    <row r="56" ht="15.75" customHeight="1">
      <c r="A56" s="77"/>
    </row>
    <row r="57" ht="15.75" customHeight="1">
      <c r="A57" s="77"/>
    </row>
    <row r="58" ht="15.75" customHeight="1">
      <c r="A58" s="77"/>
    </row>
    <row r="59" ht="15.75" customHeight="1">
      <c r="A59" s="77"/>
    </row>
    <row r="60" ht="15.75" customHeight="1">
      <c r="A60" s="77"/>
    </row>
    <row r="61" ht="15.75" customHeight="1">
      <c r="A61" s="77"/>
    </row>
    <row r="62" ht="15.75" customHeight="1">
      <c r="A62" s="77"/>
    </row>
    <row r="63" ht="15.75" customHeight="1">
      <c r="A63" s="77"/>
    </row>
    <row r="64" ht="15.75" customHeight="1">
      <c r="A64" s="77"/>
    </row>
    <row r="65" ht="15.75" customHeight="1">
      <c r="A65" s="77"/>
    </row>
    <row r="66" ht="15.75" customHeight="1">
      <c r="A66" s="77"/>
    </row>
    <row r="67" ht="15.75" customHeight="1">
      <c r="A67" s="77"/>
    </row>
    <row r="68" ht="15.75" customHeight="1">
      <c r="A68" s="77"/>
    </row>
    <row r="69" ht="15.75" customHeight="1">
      <c r="A69" s="77"/>
    </row>
    <row r="70" ht="15.75" customHeight="1">
      <c r="A70" s="77"/>
    </row>
    <row r="71" ht="15.75" customHeight="1">
      <c r="A71" s="77"/>
    </row>
    <row r="72" ht="15.75" customHeight="1">
      <c r="A72" s="77"/>
    </row>
    <row r="73" ht="15.75" customHeight="1">
      <c r="A73" s="77"/>
    </row>
    <row r="74" ht="15.75" customHeight="1">
      <c r="A74" s="77"/>
    </row>
    <row r="75" ht="15.75" customHeight="1">
      <c r="A75" s="77"/>
    </row>
    <row r="76" ht="15.75" customHeight="1">
      <c r="A76" s="77"/>
    </row>
    <row r="77" ht="15.75" customHeight="1">
      <c r="A77" s="77"/>
    </row>
    <row r="78" ht="15.75" customHeight="1">
      <c r="A78" s="77"/>
    </row>
    <row r="79" ht="15.75" customHeight="1">
      <c r="A79" s="77"/>
    </row>
    <row r="80" ht="15.75" customHeight="1">
      <c r="A80" s="77"/>
    </row>
    <row r="81" ht="15.75" customHeight="1">
      <c r="A81" s="77"/>
    </row>
    <row r="82" ht="15.75" customHeight="1">
      <c r="A82" s="77"/>
    </row>
    <row r="83" ht="15.75" customHeight="1">
      <c r="A83" s="77"/>
    </row>
    <row r="84" ht="15.75" customHeight="1">
      <c r="A84" s="77"/>
    </row>
    <row r="85" ht="15.75" customHeight="1">
      <c r="A85" s="77"/>
    </row>
    <row r="86" ht="15.75" customHeight="1">
      <c r="A86" s="77"/>
    </row>
    <row r="87" ht="15.75" customHeight="1">
      <c r="A87" s="77"/>
    </row>
    <row r="88" ht="15.75" customHeight="1">
      <c r="A88" s="77"/>
    </row>
    <row r="89" ht="15.75" customHeight="1">
      <c r="A89" s="77"/>
    </row>
    <row r="90" ht="15.75" customHeight="1">
      <c r="A90" s="77"/>
    </row>
    <row r="91" ht="15.75" customHeight="1">
      <c r="A91" s="77"/>
    </row>
    <row r="92" ht="15.75" customHeight="1">
      <c r="A92" s="77"/>
    </row>
    <row r="93" ht="15.75" customHeight="1">
      <c r="A93" s="77"/>
    </row>
    <row r="94" ht="15.75" customHeight="1">
      <c r="A94" s="77"/>
    </row>
    <row r="95" ht="15.75" customHeight="1">
      <c r="A95" s="77"/>
    </row>
    <row r="96" ht="15.75" customHeight="1">
      <c r="A96" s="77"/>
    </row>
    <row r="97" ht="15.75" customHeight="1">
      <c r="A97" s="77"/>
    </row>
    <row r="98" ht="15.75" customHeight="1">
      <c r="A98" s="77"/>
    </row>
    <row r="99" ht="15.75" customHeight="1">
      <c r="A99" s="77"/>
    </row>
    <row r="100" ht="15.75" customHeight="1">
      <c r="A100" s="77"/>
    </row>
    <row r="101" ht="15.75" customHeight="1">
      <c r="A101" s="77"/>
    </row>
    <row r="102" ht="15.75" customHeight="1">
      <c r="A102" s="77"/>
    </row>
    <row r="103" ht="15.75" customHeight="1">
      <c r="A103" s="77"/>
    </row>
    <row r="104" ht="15.75" customHeight="1">
      <c r="A104" s="77"/>
    </row>
    <row r="105" ht="15.75" customHeight="1">
      <c r="A105" s="77"/>
    </row>
    <row r="106" ht="15.75" customHeight="1">
      <c r="A106" s="77"/>
    </row>
    <row r="107" ht="15.75" customHeight="1">
      <c r="A107" s="77"/>
    </row>
    <row r="108" ht="15.75" customHeight="1">
      <c r="A108" s="77"/>
    </row>
    <row r="109" ht="15.75" customHeight="1">
      <c r="A109" s="77"/>
    </row>
    <row r="110" ht="15.75" customHeight="1">
      <c r="A110" s="77"/>
    </row>
    <row r="111" ht="15.75" customHeight="1">
      <c r="A111" s="77"/>
    </row>
    <row r="112" ht="15.75" customHeight="1">
      <c r="A112" s="77"/>
    </row>
    <row r="113" ht="15.75" customHeight="1">
      <c r="A113" s="77"/>
    </row>
    <row r="114" ht="15.75" customHeight="1">
      <c r="A114" s="77"/>
    </row>
    <row r="115" ht="15.75" customHeight="1">
      <c r="A115" s="77"/>
    </row>
    <row r="116" ht="15.75" customHeight="1">
      <c r="A116" s="77"/>
    </row>
    <row r="117" ht="15.75" customHeight="1">
      <c r="A117" s="77"/>
    </row>
    <row r="118" ht="15.75" customHeight="1">
      <c r="A118" s="77"/>
    </row>
    <row r="119" ht="15.75" customHeight="1">
      <c r="A119" s="77"/>
    </row>
    <row r="120" ht="15.75" customHeight="1">
      <c r="A120" s="77"/>
    </row>
    <row r="121" ht="15.75" customHeight="1">
      <c r="A121" s="77"/>
    </row>
    <row r="122" ht="15.75" customHeight="1">
      <c r="A122" s="77"/>
    </row>
    <row r="123" ht="15.75" customHeight="1">
      <c r="A123" s="77"/>
    </row>
    <row r="124" ht="15.75" customHeight="1">
      <c r="A124" s="77"/>
    </row>
    <row r="125" ht="15.75" customHeight="1">
      <c r="A125" s="77"/>
    </row>
    <row r="126" ht="15.75" customHeight="1">
      <c r="A126" s="77"/>
    </row>
    <row r="127" ht="15.75" customHeight="1">
      <c r="A127" s="77"/>
    </row>
    <row r="128" ht="15.75" customHeight="1">
      <c r="A128" s="77"/>
    </row>
    <row r="129" ht="15.75" customHeight="1">
      <c r="A129" s="77"/>
    </row>
    <row r="130" ht="15.75" customHeight="1">
      <c r="A130" s="77"/>
    </row>
    <row r="131" ht="15.75" customHeight="1">
      <c r="A131" s="77"/>
    </row>
    <row r="132" ht="15.75" customHeight="1">
      <c r="A132" s="77"/>
    </row>
    <row r="133" ht="15.75" customHeight="1">
      <c r="A133" s="77"/>
    </row>
    <row r="134" ht="15.75" customHeight="1">
      <c r="A134" s="77"/>
    </row>
    <row r="135" ht="15.75" customHeight="1">
      <c r="A135" s="77"/>
    </row>
    <row r="136" ht="15.75" customHeight="1">
      <c r="A136" s="77"/>
    </row>
    <row r="137" ht="15.75" customHeight="1">
      <c r="A137" s="77"/>
    </row>
    <row r="138" ht="15.75" customHeight="1">
      <c r="A138" s="77"/>
    </row>
    <row r="139" ht="15.75" customHeight="1">
      <c r="A139" s="77"/>
    </row>
    <row r="140" ht="15.75" customHeight="1">
      <c r="A140" s="77"/>
    </row>
    <row r="141" ht="15.75" customHeight="1">
      <c r="A141" s="77"/>
    </row>
    <row r="142" ht="15.75" customHeight="1">
      <c r="A142" s="77"/>
    </row>
    <row r="143" ht="15.75" customHeight="1">
      <c r="A143" s="77"/>
    </row>
    <row r="144" ht="15.75" customHeight="1">
      <c r="A144" s="77"/>
    </row>
    <row r="145" ht="15.75" customHeight="1">
      <c r="A145" s="77"/>
    </row>
    <row r="146" ht="15.75" customHeight="1">
      <c r="A146" s="77"/>
    </row>
    <row r="147" ht="15.75" customHeight="1">
      <c r="A147" s="77"/>
    </row>
    <row r="148" ht="15.75" customHeight="1">
      <c r="A148" s="77"/>
    </row>
    <row r="149" ht="15.75" customHeight="1">
      <c r="A149" s="77"/>
    </row>
    <row r="150" ht="15.75" customHeight="1">
      <c r="A150" s="77"/>
    </row>
    <row r="151" ht="15.75" customHeight="1">
      <c r="A151" s="77"/>
    </row>
    <row r="152" ht="15.75" customHeight="1">
      <c r="A152" s="77"/>
    </row>
    <row r="153" ht="15.75" customHeight="1">
      <c r="A153" s="77"/>
    </row>
    <row r="154" ht="15.75" customHeight="1">
      <c r="A154" s="77"/>
    </row>
    <row r="155" ht="15.75" customHeight="1">
      <c r="A155" s="77"/>
    </row>
    <row r="156" ht="15.75" customHeight="1">
      <c r="A156" s="77"/>
    </row>
    <row r="157" ht="15.75" customHeight="1">
      <c r="A157" s="77"/>
    </row>
    <row r="158" ht="15.75" customHeight="1">
      <c r="A158" s="77"/>
    </row>
    <row r="159" ht="15.75" customHeight="1">
      <c r="A159" s="77"/>
    </row>
    <row r="160" ht="15.75" customHeight="1">
      <c r="A160" s="77"/>
    </row>
    <row r="161" ht="15.75" customHeight="1">
      <c r="A161" s="77"/>
    </row>
    <row r="162" ht="15.75" customHeight="1">
      <c r="A162" s="77"/>
    </row>
    <row r="163" ht="15.75" customHeight="1">
      <c r="A163" s="77"/>
    </row>
    <row r="164" ht="15.75" customHeight="1">
      <c r="A164" s="77"/>
    </row>
    <row r="165" ht="15.75" customHeight="1">
      <c r="A165" s="77"/>
    </row>
    <row r="166" ht="15.75" customHeight="1">
      <c r="A166" s="77"/>
    </row>
    <row r="167" ht="15.75" customHeight="1">
      <c r="A167" s="77"/>
    </row>
    <row r="168" ht="15.75" customHeight="1">
      <c r="A168" s="77"/>
    </row>
    <row r="169" ht="15.75" customHeight="1">
      <c r="A169" s="77"/>
    </row>
    <row r="170" ht="15.75" customHeight="1">
      <c r="A170" s="77"/>
    </row>
    <row r="171" ht="15.75" customHeight="1">
      <c r="A171" s="77"/>
    </row>
    <row r="172" ht="15.75" customHeight="1">
      <c r="A172" s="77"/>
    </row>
    <row r="173" ht="15.75" customHeight="1">
      <c r="A173" s="77"/>
    </row>
    <row r="174" ht="15.75" customHeight="1">
      <c r="A174" s="77"/>
    </row>
    <row r="175" ht="15.75" customHeight="1">
      <c r="A175" s="77"/>
    </row>
    <row r="176" ht="15.75" customHeight="1">
      <c r="A176" s="77"/>
    </row>
    <row r="177" ht="15.75" customHeight="1">
      <c r="A177" s="77"/>
    </row>
    <row r="178" ht="15.75" customHeight="1">
      <c r="A178" s="77"/>
    </row>
    <row r="179" ht="15.75" customHeight="1">
      <c r="A179" s="77"/>
    </row>
    <row r="180" ht="15.75" customHeight="1">
      <c r="A180" s="77"/>
    </row>
    <row r="181" ht="15.75" customHeight="1">
      <c r="A181" s="77"/>
    </row>
    <row r="182" ht="15.75" customHeight="1">
      <c r="A182" s="77"/>
    </row>
    <row r="183" ht="15.75" customHeight="1">
      <c r="A183" s="77"/>
    </row>
    <row r="184" ht="15.75" customHeight="1">
      <c r="A184" s="77"/>
    </row>
    <row r="185" ht="15.75" customHeight="1">
      <c r="A185" s="77"/>
    </row>
    <row r="186" ht="15.75" customHeight="1">
      <c r="A186" s="77"/>
    </row>
    <row r="187" ht="15.75" customHeight="1">
      <c r="A187" s="77"/>
    </row>
    <row r="188" ht="15.75" customHeight="1">
      <c r="A188" s="77"/>
    </row>
    <row r="189" ht="15.75" customHeight="1">
      <c r="A189" s="77"/>
    </row>
    <row r="190" ht="15.75" customHeight="1">
      <c r="A190" s="77"/>
    </row>
    <row r="191" ht="15.75" customHeight="1">
      <c r="A191" s="77"/>
    </row>
    <row r="192" ht="15.75" customHeight="1">
      <c r="A192" s="77"/>
    </row>
    <row r="193" ht="15.75" customHeight="1">
      <c r="A193" s="77"/>
    </row>
    <row r="194" ht="15.75" customHeight="1">
      <c r="A194" s="77"/>
    </row>
    <row r="195" ht="15.75" customHeight="1">
      <c r="A195" s="77"/>
    </row>
    <row r="196" ht="15.75" customHeight="1">
      <c r="A196" s="77"/>
    </row>
    <row r="197" ht="15.75" customHeight="1">
      <c r="A197" s="77"/>
    </row>
    <row r="198" ht="15.75" customHeight="1">
      <c r="A198" s="77"/>
    </row>
    <row r="199" ht="15.75" customHeight="1">
      <c r="A199" s="77"/>
    </row>
    <row r="200" ht="15.75" customHeight="1">
      <c r="A200" s="77"/>
    </row>
    <row r="201" ht="15.75" customHeight="1">
      <c r="A201" s="77"/>
    </row>
    <row r="202" ht="15.75" customHeight="1">
      <c r="A202" s="77"/>
    </row>
    <row r="203" ht="15.75" customHeight="1">
      <c r="A203" s="77"/>
    </row>
    <row r="204" ht="15.75" customHeight="1">
      <c r="A204" s="77"/>
    </row>
    <row r="205" ht="15.75" customHeight="1">
      <c r="A205" s="77"/>
    </row>
    <row r="206" ht="15.75" customHeight="1">
      <c r="A206" s="77"/>
    </row>
    <row r="207" ht="15.75" customHeight="1">
      <c r="A207" s="77"/>
    </row>
    <row r="208" ht="15.75" customHeight="1">
      <c r="A208" s="77"/>
    </row>
    <row r="209" ht="15.75" customHeight="1">
      <c r="A209" s="77"/>
    </row>
    <row r="210" ht="15.75" customHeight="1">
      <c r="A210" s="77"/>
    </row>
    <row r="211" ht="15.75" customHeight="1">
      <c r="A211" s="77"/>
    </row>
    <row r="212" ht="15.75" customHeight="1">
      <c r="A212" s="77"/>
    </row>
    <row r="213" ht="15.75" customHeight="1">
      <c r="A213" s="77"/>
    </row>
    <row r="214" ht="15.75" customHeight="1">
      <c r="A214" s="77"/>
    </row>
    <row r="215" ht="15.75" customHeight="1">
      <c r="A215" s="77"/>
    </row>
    <row r="216" ht="15.75" customHeight="1">
      <c r="A216" s="77"/>
    </row>
    <row r="217" ht="15.75" customHeight="1">
      <c r="A217" s="77"/>
    </row>
    <row r="218" ht="15.75" customHeight="1">
      <c r="A218" s="77"/>
    </row>
    <row r="219" ht="15.75" customHeight="1">
      <c r="A219" s="77"/>
    </row>
    <row r="220" ht="15.75" customHeight="1">
      <c r="A220" s="7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88"/>
  </cols>
  <sheetData>
    <row r="1" ht="15.75" customHeight="1">
      <c r="A1" s="1" t="s">
        <v>387</v>
      </c>
    </row>
    <row r="2" ht="15.75" customHeight="1">
      <c r="A2" s="1" t="s">
        <v>348</v>
      </c>
      <c r="B2" s="1">
        <v>2019.0</v>
      </c>
      <c r="C2" s="1">
        <v>2020.0</v>
      </c>
      <c r="D2" s="1">
        <v>2021.0</v>
      </c>
      <c r="E2" s="1">
        <v>2022.0</v>
      </c>
      <c r="F2" s="1">
        <v>2023.0</v>
      </c>
      <c r="G2" s="1">
        <v>2024.0</v>
      </c>
      <c r="H2" s="1" t="s">
        <v>388</v>
      </c>
    </row>
    <row r="3" ht="15.75" customHeight="1">
      <c r="A3" s="3" t="s">
        <v>389</v>
      </c>
      <c r="B3" s="70">
        <f>'Income Statement'!B10/'Income Statement'!B4</f>
        <v>0.3154406771</v>
      </c>
      <c r="C3" s="70">
        <f>'Income Statement'!C10/'Income Statement'!C4</f>
        <v>0.2577769221</v>
      </c>
      <c r="D3" s="70">
        <f>'Income Statement'!D10/'Income Statement'!D4</f>
        <v>0.2301713746</v>
      </c>
      <c r="E3" s="70">
        <f>'Income Statement'!E10/'Income Statement'!E4</f>
        <v>0.2367747255</v>
      </c>
      <c r="F3" s="70">
        <f>'Income Statement'!F10/'Income Statement'!F4</f>
        <v>0.24231363</v>
      </c>
      <c r="G3" s="70">
        <f>'Income Statement'!G10/'Income Statement'!G4</f>
        <v>0.2197291327</v>
      </c>
      <c r="H3" s="2">
        <f t="shared" ref="H3:H4" si="1">(G3/B3)^(0.2)*G3</f>
        <v>0.2044003479</v>
      </c>
    </row>
    <row r="4" ht="15.75" customHeight="1">
      <c r="A4" s="3" t="s">
        <v>390</v>
      </c>
      <c r="B4" s="70">
        <f>'Income Statement'!B11/'Income Statement'!B5</f>
        <v>0.5926437235</v>
      </c>
      <c r="C4" s="70">
        <f>'Income Statement'!C11/'Income Statement'!C5</f>
        <v>0.6465513418</v>
      </c>
      <c r="D4" s="70">
        <f>'Income Statement'!D11/'Income Statement'!D5</f>
        <v>0.6354345832</v>
      </c>
      <c r="E4" s="70">
        <f>'Income Statement'!E11/'Income Statement'!E5</f>
        <v>0.6660764526</v>
      </c>
      <c r="F4" s="70">
        <f>'Income Statement'!F11/'Income Statement'!F5</f>
        <v>0.6910770513</v>
      </c>
      <c r="G4" s="70">
        <f>'Income Statement'!G11/'Income Statement'!G5</f>
        <v>0.6755640602</v>
      </c>
      <c r="H4" s="2">
        <f t="shared" si="1"/>
        <v>0.6934914431</v>
      </c>
    </row>
    <row r="5" ht="15.75" customHeight="1"/>
    <row r="6" ht="15.75" customHeight="1">
      <c r="A6" s="1" t="s">
        <v>391</v>
      </c>
      <c r="B6" s="1">
        <v>2019.0</v>
      </c>
      <c r="C6" s="1">
        <v>2020.0</v>
      </c>
      <c r="D6" s="1">
        <v>2021.0</v>
      </c>
      <c r="E6" s="1">
        <v>2022.0</v>
      </c>
      <c r="F6" s="1">
        <v>2023.0</v>
      </c>
      <c r="G6" s="1">
        <v>2024.0</v>
      </c>
      <c r="H6" s="1" t="s">
        <v>388</v>
      </c>
    </row>
    <row r="7" ht="15.75" customHeight="1">
      <c r="A7" s="3" t="s">
        <v>146</v>
      </c>
      <c r="B7" s="70">
        <f>'Income Statement'!B16/'Income Statement'!B$6</f>
        <v>0.6912146151</v>
      </c>
      <c r="C7" s="70">
        <f>'Income Statement'!C16/'Income Statement'!C$6</f>
        <v>0.5537760717</v>
      </c>
      <c r="D7" s="70">
        <f>'Income Statement'!D16/'Income Statement'!D$6</f>
        <v>0.4589416288</v>
      </c>
      <c r="E7" s="70">
        <f>'Income Statement'!E16/'Income Statement'!E$6</f>
        <v>0.4247372199</v>
      </c>
      <c r="F7" s="70">
        <f>'Income Statement'!F16/'Income Statement'!F$6</f>
        <v>0.403531355</v>
      </c>
      <c r="G7" s="70">
        <f>'Income Statement'!G16/'Income Statement'!G$6</f>
        <v>0.3732762133</v>
      </c>
      <c r="H7" s="2">
        <f t="shared" ref="H7:H9" si="2">(G7/B7)^(0.2)*G7</f>
        <v>0.329999891</v>
      </c>
    </row>
    <row r="8" ht="15.75" customHeight="1">
      <c r="A8" s="3" t="s">
        <v>149</v>
      </c>
      <c r="B8" s="70">
        <f>'Income Statement'!B17/'Income Statement'!B$6</f>
        <v>0.3384422634</v>
      </c>
      <c r="C8" s="70">
        <f>'Income Statement'!C17/'Income Statement'!C$6</f>
        <v>0.2704289249</v>
      </c>
      <c r="D8" s="70">
        <f>'Income Statement'!D17/'Income Statement'!D$6</f>
        <v>0.2454948207</v>
      </c>
      <c r="E8" s="70">
        <f>'Income Statement'!E17/'Income Statement'!E$6</f>
        <v>0.2557760641</v>
      </c>
      <c r="F8" s="70">
        <f>'Income Statement'!F17/'Income Statement'!F$6</f>
        <v>0.271441294</v>
      </c>
      <c r="G8" s="70">
        <f>'Income Statement'!G17/'Income Statement'!G$6</f>
        <v>0.2515081548</v>
      </c>
      <c r="H8" s="2">
        <f t="shared" si="2"/>
        <v>0.237009398</v>
      </c>
    </row>
    <row r="9" ht="15.75" customHeight="1">
      <c r="A9" s="3" t="s">
        <v>150</v>
      </c>
      <c r="B9" s="70">
        <f>'Income Statement'!B18/'Income Statement'!B$6</f>
        <v>0.1689869668</v>
      </c>
      <c r="C9" s="70">
        <f>'Income Statement'!C18/'Income Statement'!C$6</f>
        <v>0.1850136993</v>
      </c>
      <c r="D9" s="70">
        <f>'Income Statement'!D18/'Income Statement'!D$6</f>
        <v>0.1388731963</v>
      </c>
      <c r="E9" s="70">
        <f>'Income Statement'!E18/'Income Statement'!E$6</f>
        <v>0.1536876014</v>
      </c>
      <c r="F9" s="70">
        <f>'Income Statement'!F18/'Income Statement'!F$6</f>
        <v>0.1415932994</v>
      </c>
      <c r="G9" s="70">
        <f>'Income Statement'!G18/'Income Statement'!G$6</f>
        <v>0.1285409688</v>
      </c>
      <c r="H9" s="2">
        <f t="shared" si="2"/>
        <v>0.1216968229</v>
      </c>
    </row>
    <row r="10" ht="15.75" customHeight="1"/>
    <row r="11" ht="15.75" customHeight="1"/>
    <row r="12" ht="15.75" customHeight="1">
      <c r="A12" s="1" t="s">
        <v>196</v>
      </c>
      <c r="B12" s="1">
        <v>2019.0</v>
      </c>
      <c r="C12" s="1">
        <v>2020.0</v>
      </c>
      <c r="D12" s="1">
        <v>2021.0</v>
      </c>
      <c r="E12" s="1">
        <v>2022.0</v>
      </c>
      <c r="F12" s="1">
        <v>2023.0</v>
      </c>
      <c r="G12" s="1">
        <v>2024.0</v>
      </c>
    </row>
    <row r="13" ht="15.75" customHeight="1">
      <c r="A13" s="3" t="s">
        <v>392</v>
      </c>
      <c r="B13" s="2">
        <f>'Balance Sheet'!B8/('Balance Sheet'!B8+'Balance Sheet'!B15)</f>
        <v>0.7441506514</v>
      </c>
      <c r="C13" s="2">
        <f>'Balance Sheet'!C8/('Balance Sheet'!C8+'Balance Sheet'!C15)</f>
        <v>0.3762586904</v>
      </c>
      <c r="D13" s="2">
        <f>'Balance Sheet'!D8/('Balance Sheet'!D8+'Balance Sheet'!D15)</f>
        <v>0.4067801727</v>
      </c>
      <c r="E13" s="2">
        <f>'Balance Sheet'!E8/('Balance Sheet'!E8+'Balance Sheet'!E15)</f>
        <v>0.3973369259</v>
      </c>
      <c r="F13" s="2">
        <f>'Balance Sheet'!F8/('Balance Sheet'!F8+'Balance Sheet'!F15)</f>
        <v>0.4179378556</v>
      </c>
      <c r="G13" s="2">
        <f>'Balance Sheet'!G8/('Balance Sheet'!G8+'Balance Sheet'!G15)</f>
        <v>0.4230958796</v>
      </c>
      <c r="H13" s="2">
        <f t="shared" ref="H13:H14" si="3">G13</f>
        <v>0.4230958796</v>
      </c>
      <c r="I13" s="1" t="s">
        <v>393</v>
      </c>
    </row>
    <row r="14" ht="15.75" customHeight="1">
      <c r="A14" s="3" t="s">
        <v>394</v>
      </c>
      <c r="B14" s="2">
        <f>'Balance Sheet'!B40/'Balance Sheet'!B39</f>
        <v>0</v>
      </c>
      <c r="C14" s="2">
        <f>'Balance Sheet'!C40/'Balance Sheet'!C39</f>
        <v>0.0006737572884</v>
      </c>
      <c r="D14" s="2">
        <f>'Balance Sheet'!D40/'Balance Sheet'!D39</f>
        <v>0.00149326766</v>
      </c>
      <c r="E14" s="2">
        <f>'Balance Sheet'!E40/'Balance Sheet'!E39</f>
        <v>0.01158063648</v>
      </c>
      <c r="F14" s="2">
        <f>'Balance Sheet'!F40/'Balance Sheet'!F39</f>
        <v>0.01625603546</v>
      </c>
      <c r="G14" s="2">
        <f>'Balance Sheet'!G40/'Balance Sheet'!G39</f>
        <v>0.01438355867</v>
      </c>
      <c r="H14" s="2">
        <f t="shared" si="3"/>
        <v>0.01438355867</v>
      </c>
      <c r="I14" s="1" t="s">
        <v>393</v>
      </c>
    </row>
    <row r="15" ht="15.75" customHeight="1"/>
    <row r="16" ht="15.75" customHeight="1"/>
    <row r="17" ht="15.75" customHeight="1"/>
    <row r="18" ht="15.75" customHeight="1">
      <c r="A18" s="1" t="s">
        <v>395</v>
      </c>
    </row>
    <row r="19" ht="15.75" customHeight="1">
      <c r="B19" s="1">
        <v>2019.0</v>
      </c>
      <c r="C19" s="1">
        <v>2020.0</v>
      </c>
      <c r="D19" s="1">
        <v>2021.0</v>
      </c>
      <c r="E19" s="1">
        <v>2022.0</v>
      </c>
      <c r="F19" s="1">
        <v>2023.0</v>
      </c>
      <c r="G19" s="1">
        <v>2024.0</v>
      </c>
      <c r="H19" s="1" t="s">
        <v>396</v>
      </c>
    </row>
    <row r="20" ht="15.75" customHeight="1">
      <c r="A20" s="3" t="s">
        <v>397</v>
      </c>
      <c r="B20" s="2">
        <f>'Cash Flow Statement'!B34*-1/'Income Statement'!B6</f>
        <v>0.1707001729</v>
      </c>
      <c r="C20" s="2">
        <f>'Cash Flow Statement'!C34*-1/'Income Statement'!C6</f>
        <v>0.1817296168</v>
      </c>
      <c r="D20" s="2">
        <f>'Cash Flow Statement'!D34*-1/'Income Statement'!D6</f>
        <v>0.07280447556</v>
      </c>
      <c r="E20" s="2">
        <f>'Cash Flow Statement'!E34*-1/'Income Statement'!E6</f>
        <v>0.09162961544</v>
      </c>
      <c r="F20" s="2">
        <f>'Cash Flow Statement'!F34*-1/'Income Statement'!F6</f>
        <v>0.1178430116</v>
      </c>
      <c r="G20" s="2">
        <f>'Cash Flow Statement'!G34*-1/'Income Statement'!G6</f>
        <v>0.07395906799</v>
      </c>
      <c r="H20" s="2">
        <f>(B20+G20)/2</f>
        <v>0.1223296205</v>
      </c>
      <c r="I20" s="48" t="s">
        <v>398</v>
      </c>
    </row>
    <row r="21" ht="15.75" customHeight="1">
      <c r="A21" s="3" t="s">
        <v>399</v>
      </c>
      <c r="B21" s="2">
        <f>'Cash Flow Statement'!B38/'Income Statement'!B6</f>
        <v>0</v>
      </c>
      <c r="C21" s="2">
        <f>'Cash Flow Statement'!C38/'Income Statement'!C6</f>
        <v>0</v>
      </c>
      <c r="D21" s="2">
        <f>'Cash Flow Statement'!D38/'Income Statement'!D6*-1</f>
        <v>0.000205846498</v>
      </c>
      <c r="E21" s="2">
        <f>'Cash Flow Statement'!E38/'Income Statement'!E6*-1</f>
        <v>0.0004684505447</v>
      </c>
      <c r="F21" s="2">
        <f>'Cash Flow Statement'!F38/'Income Statement'!F6*-1</f>
        <v>0.001036481656</v>
      </c>
      <c r="G21" s="2">
        <f>'Cash Flow Statement'!G38/'Income Statement'!G6*-1</f>
        <v>0.003641237026</v>
      </c>
      <c r="H21" s="2">
        <f>(G21+B21)/2</f>
        <v>0.001820618513</v>
      </c>
      <c r="I21" s="48" t="s">
        <v>398</v>
      </c>
    </row>
    <row r="22" ht="15.75" customHeight="1">
      <c r="A22" s="3" t="s">
        <v>400</v>
      </c>
      <c r="B22" s="2">
        <f>'Cash Flow Statement'!B25/'Income Statement'!B6*-1</f>
        <v>0.180419015</v>
      </c>
      <c r="C22" s="2">
        <f>'Cash Flow Statement'!C25/'Income Statement'!C6*-1</f>
        <v>0.1798746606</v>
      </c>
      <c r="D22" s="2">
        <f>'Cash Flow Statement'!D25/'Income Statement'!D6*-1</f>
        <v>0.1726537502</v>
      </c>
      <c r="E22" s="2">
        <f>'Cash Flow Statement'!E25/'Income Statement'!E6*-1</f>
        <v>0.1614142798</v>
      </c>
      <c r="F22" s="2">
        <f>'Cash Flow Statement'!F25/'Income Statement'!F6*-1</f>
        <v>0.1332818141</v>
      </c>
      <c r="G22" s="2">
        <f>'Cash Flow Statement'!G25/'Income Statement'!G6*-1</f>
        <v>0.1216306039</v>
      </c>
      <c r="H22" s="2">
        <f>(G22/B22)^(0.2)*G22</f>
        <v>0.1124074185</v>
      </c>
      <c r="I22" s="1" t="s">
        <v>401</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