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ms-office.chartex+xml" PartName="/xl/charts/chartEx1.xml"/>
  <Override ContentType="application/vnd.openxmlformats-package.core-properties+xml" PartName="/docProps/core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custom-properties+xml" PartName="/docProps/custom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ms-office.chartstyle+xml" PartName="/xl/charts/style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F Output" sheetId="1" r:id="rId4"/>
    <sheet state="visible" name="DCF Analysis" sheetId="2" r:id="rId5"/>
    <sheet state="visible" name="Projections" sheetId="3" r:id="rId6"/>
    <sheet state="visible" name="WACC" sheetId="4" r:id="rId7"/>
    <sheet state="visible" name="TSM" sheetId="5" r:id="rId8"/>
    <sheet state="hidden" name="Sheet1" sheetId="6" r:id="rId9"/>
    <sheet state="hidden" name="Debt Repayment Schedule" sheetId="7" r:id="rId10"/>
    <sheet state="hidden" name="IRR" sheetId="8" r:id="rId11"/>
  </sheets>
  <definedNames>
    <definedName name="FDSO">TSM!$C$7</definedName>
    <definedName name="_xlchart.v1.0">'DCF Output'!$AC$3:$AC$5</definedName>
    <definedName name="_xlchart.v1.1">'DCF Output'!$AE$3:$AE$5</definedName>
    <definedName name="TAXRATE">'DCF Analysis'!$C$8</definedName>
    <definedName name="SHAREPRICE">'DCF Analysis'!$C$7</definedName>
  </definedNames>
  <calcPr/>
  <extLst>
    <ext uri="GoogleSheetsCustomDataVersion2">
      <go:sheetsCustomData xmlns:go="http://customooxmlschemas.google.com/" r:id="rId12" roundtripDataChecksum="TgR5qORgGWHtE4GQSl+wdtiM1FB4FXxXbZ161YrCDB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5">
      <text>
        <t xml:space="preserve">======
ID#AAABkq5CQWI
Ethan Okaty    (2025-06-03 03:53:45)
Synthetic spreads cited from NYU Stern January 2021. 
Citation: 
people.stern.nyu.edu/adamodar/New_Home_Page/datafile/ratings.html</t>
      </text>
    </comment>
  </commentList>
  <extLst>
    <ext uri="GoogleSheetsCustomDataVersion2">
      <go:sheetsCustomData xmlns:go="http://customooxmlschemas.google.com/" r:id="rId1" roundtripDataSignature="AMtx7mgkHc0rgNnj1/ATWqeYk4TV1V6Zt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ID#AAABkq5CQWE
Ethan Okaty    (2025-06-03 03:53:45)
Only include vested stock options (exercisable).</t>
      </text>
    </comment>
  </commentList>
  <extLst>
    <ext uri="GoogleSheetsCustomDataVersion2">
      <go:sheetsCustomData xmlns:go="http://customooxmlschemas.google.com/" r:id="rId1" roundtripDataSignature="AMtx7mhc9HkKjGoD8ihmePx3XkgbazZ90A=="/>
    </ext>
  </extLst>
</comments>
</file>

<file path=xl/sharedStrings.xml><?xml version="1.0" encoding="utf-8"?>
<sst xmlns="http://schemas.openxmlformats.org/spreadsheetml/2006/main" count="351" uniqueCount="248">
  <si>
    <t>Exit Multiple Method</t>
  </si>
  <si>
    <t>Implied Upside Graph</t>
  </si>
  <si>
    <t>Current Share Price</t>
  </si>
  <si>
    <t>Enterprise Value Calculation</t>
  </si>
  <si>
    <t>Implied Equity Value and Share Price</t>
  </si>
  <si>
    <t>Implied PGR</t>
  </si>
  <si>
    <t>Average Implied Upside</t>
  </si>
  <si>
    <t>Cumulative PV of FCF</t>
  </si>
  <si>
    <t>Enterprise Value</t>
  </si>
  <si>
    <t>Terminal Year FCF</t>
  </si>
  <si>
    <t>Average Price Target</t>
  </si>
  <si>
    <t>Terminal Year EBITDA</t>
  </si>
  <si>
    <t xml:space="preserve">  Less: Debt</t>
  </si>
  <si>
    <t>WACC</t>
  </si>
  <si>
    <t xml:space="preserve">  x EBITDA Exit Multiple</t>
  </si>
  <si>
    <t xml:space="preserve">  Add: Cash</t>
  </si>
  <si>
    <t>Terminal Value</t>
  </si>
  <si>
    <t xml:space="preserve">  Less: Other Claims</t>
  </si>
  <si>
    <t>Implied Equity Value</t>
  </si>
  <si>
    <t>PV of Terminal Value</t>
  </si>
  <si>
    <t xml:space="preserve">  FDSO</t>
  </si>
  <si>
    <t>Implied 2024 EV/EBITDA</t>
  </si>
  <si>
    <t>Price Per Share</t>
  </si>
  <si>
    <t xml:space="preserve">  Terminal Value % Enterprise Value</t>
  </si>
  <si>
    <t xml:space="preserve">  Implied Premium to Current Share Price</t>
  </si>
  <si>
    <t>2022E EBITDA</t>
  </si>
  <si>
    <t>Perpetuity Growth Rate Method</t>
  </si>
  <si>
    <t>Implied Exit Multiple</t>
  </si>
  <si>
    <t>Perpetuity Growth Rate</t>
  </si>
  <si>
    <t>2024E EBITDA</t>
  </si>
  <si>
    <t>Average Implied Premium</t>
  </si>
  <si>
    <t>EV/EBITDA</t>
  </si>
  <si>
    <t>Colgate-Palmolive</t>
  </si>
  <si>
    <t>Nestle SA - ADR (NSRGY)</t>
  </si>
  <si>
    <t>J M Smucker Co (SJM)</t>
  </si>
  <si>
    <t>General Mills (GIS)</t>
  </si>
  <si>
    <t>Post Holdings Inc (POST)</t>
  </si>
  <si>
    <t>Median</t>
  </si>
  <si>
    <t>Assumptions</t>
  </si>
  <si>
    <t>Case:</t>
  </si>
  <si>
    <t>Base</t>
  </si>
  <si>
    <t>Units:</t>
  </si>
  <si>
    <t>Millions ($)</t>
  </si>
  <si>
    <t>Company:</t>
  </si>
  <si>
    <t>Freshpet</t>
  </si>
  <si>
    <t>Ticker:</t>
  </si>
  <si>
    <t>FRPT</t>
  </si>
  <si>
    <t>Current Share Price:</t>
  </si>
  <si>
    <t>Corporate Tax Rate:</t>
  </si>
  <si>
    <t>Exit Year:</t>
  </si>
  <si>
    <t>Exit Multiple:</t>
  </si>
  <si>
    <t>PGR:</t>
  </si>
  <si>
    <t>Today:</t>
  </si>
  <si>
    <t>Fiscal Year End:</t>
  </si>
  <si>
    <t>Calendar Month End:</t>
  </si>
  <si>
    <t>Calendar Adj:</t>
  </si>
  <si>
    <t>WACC:</t>
  </si>
  <si>
    <t>Historical Period</t>
  </si>
  <si>
    <t>CAGR</t>
  </si>
  <si>
    <t>Total Revenue</t>
  </si>
  <si>
    <t>2020-2024</t>
  </si>
  <si>
    <t>(2024-2031)</t>
  </si>
  <si>
    <t xml:space="preserve">  % Growth</t>
  </si>
  <si>
    <t>EBITDA</t>
  </si>
  <si>
    <t xml:space="preserve">  % Revenue</t>
  </si>
  <si>
    <t>Less: D&amp;A</t>
  </si>
  <si>
    <t>EBIT</t>
  </si>
  <si>
    <t xml:space="preserve">  EBIT Margin (% Revenue)</t>
  </si>
  <si>
    <t>Less: Taxes</t>
  </si>
  <si>
    <t>NOPAT</t>
  </si>
  <si>
    <t>Plus: D&amp;A</t>
  </si>
  <si>
    <t>Less: CapEx</t>
  </si>
  <si>
    <t>Average</t>
  </si>
  <si>
    <t>Less: Change in NWC</t>
  </si>
  <si>
    <t>Unlevered Free Cash Flow</t>
  </si>
  <si>
    <t>Years</t>
  </si>
  <si>
    <t>Mid-Year Discount Period</t>
  </si>
  <si>
    <t>Mid-Year Discount Factor</t>
  </si>
  <si>
    <t>PV of Unlevered Free Cash Flow</t>
  </si>
  <si>
    <t>x</t>
  </si>
  <si>
    <t>Gross Margin</t>
  </si>
  <si>
    <t>Revenue</t>
  </si>
  <si>
    <t>Revenue Line Item</t>
  </si>
  <si>
    <t xml:space="preserve"> % Growth</t>
  </si>
  <si>
    <t>Grocery, Mass, International and Digital</t>
  </si>
  <si>
    <t>% Growth</t>
  </si>
  <si>
    <t>-</t>
  </si>
  <si>
    <t>% Revenue</t>
  </si>
  <si>
    <t>Pet Specialty and Club</t>
  </si>
  <si>
    <t>Operating Expenses</t>
  </si>
  <si>
    <t>Cost of Goods Sold</t>
  </si>
  <si>
    <t>SG&amp;A</t>
  </si>
  <si>
    <t>(-) Total Costs</t>
  </si>
  <si>
    <t>D&amp;A From Cash Flow Statement</t>
  </si>
  <si>
    <t xml:space="preserve">  EBITDA Margin (% Revenue)</t>
  </si>
  <si>
    <t>Operating Income/EBIT</t>
  </si>
  <si>
    <t>Other Income</t>
  </si>
  <si>
    <t>EBT</t>
  </si>
  <si>
    <t>Less: Income Tax Expense</t>
  </si>
  <si>
    <t>Tax Rate</t>
  </si>
  <si>
    <t>Net Income</t>
  </si>
  <si>
    <t>Current Assets</t>
  </si>
  <si>
    <t>Accounts Receivable</t>
  </si>
  <si>
    <t xml:space="preserve">  DSO (Days Sales Outstanding)</t>
  </si>
  <si>
    <t>Inventory</t>
  </si>
  <si>
    <t xml:space="preserve">  DIH (Days Inventory Held)</t>
  </si>
  <si>
    <t>Cash and Cash Equivalents</t>
  </si>
  <si>
    <t xml:space="preserve">  % of Revenue</t>
  </si>
  <si>
    <t>Prepaid Expenses</t>
  </si>
  <si>
    <t xml:space="preserve">  % SGA</t>
  </si>
  <si>
    <t>Other Current Assets</t>
  </si>
  <si>
    <t>Total Current Assets</t>
  </si>
  <si>
    <t>Current Liabilities</t>
  </si>
  <si>
    <t>Accounts Payable</t>
  </si>
  <si>
    <t xml:space="preserve">  DPO (Days Payable Outstanding)</t>
  </si>
  <si>
    <t>Current Debt</t>
  </si>
  <si>
    <t>Accrued Salaries and Wages</t>
  </si>
  <si>
    <t>% of Revenue</t>
  </si>
  <si>
    <t>Other Current Liabilities</t>
  </si>
  <si>
    <t>Total Current Liabilities</t>
  </si>
  <si>
    <t>Net Working Capital</t>
  </si>
  <si>
    <t>Change in NWC</t>
  </si>
  <si>
    <t>Comparable Companies Bottom-Up Beta</t>
  </si>
  <si>
    <t>Cost</t>
  </si>
  <si>
    <t>Weight</t>
  </si>
  <si>
    <t>Firm's Beta</t>
  </si>
  <si>
    <t>After Tax Cost of Debt</t>
  </si>
  <si>
    <t>Synthetic Credit Rating Spreads</t>
  </si>
  <si>
    <t>Cost of Equity</t>
  </si>
  <si>
    <t>Moody's Rating</t>
  </si>
  <si>
    <t>Fitch/S&amp;P Rating</t>
  </si>
  <si>
    <t>Default Spread</t>
  </si>
  <si>
    <t>Yield on Outstanding Debt Method</t>
  </si>
  <si>
    <t>Aaa</t>
  </si>
  <si>
    <t>AAA</t>
  </si>
  <si>
    <t>Credit Spread Method</t>
  </si>
  <si>
    <t>Aa2</t>
  </si>
  <si>
    <t>AA+</t>
  </si>
  <si>
    <t>Capitalization Table</t>
  </si>
  <si>
    <t>AA</t>
  </si>
  <si>
    <t>Cash &amp; Cash Equivalents + ST Investments</t>
  </si>
  <si>
    <t>Aa3</t>
  </si>
  <si>
    <t>AA-</t>
  </si>
  <si>
    <t>Total Long-term Debt</t>
  </si>
  <si>
    <t>A1</t>
  </si>
  <si>
    <t>A+</t>
  </si>
  <si>
    <t>Equity Value (Market Capitilization)</t>
  </si>
  <si>
    <t>A2</t>
  </si>
  <si>
    <t>A</t>
  </si>
  <si>
    <t>A3</t>
  </si>
  <si>
    <t>A-</t>
  </si>
  <si>
    <t>Baa1</t>
  </si>
  <si>
    <t>BBB+</t>
  </si>
  <si>
    <t>Cost of Debt</t>
  </si>
  <si>
    <t>Cost of Debt:</t>
  </si>
  <si>
    <t>Baa2</t>
  </si>
  <si>
    <t>BBB</t>
  </si>
  <si>
    <t>Baa3</t>
  </si>
  <si>
    <t>BBB-</t>
  </si>
  <si>
    <t>Interest Expense</t>
  </si>
  <si>
    <t>Ba1</t>
  </si>
  <si>
    <t>BB+</t>
  </si>
  <si>
    <t>Bottom-Up Beta:</t>
  </si>
  <si>
    <t>Ba2</t>
  </si>
  <si>
    <t>BB</t>
  </si>
  <si>
    <t>Ba3</t>
  </si>
  <si>
    <t>BB-</t>
  </si>
  <si>
    <t>B1</t>
  </si>
  <si>
    <t>B+</t>
  </si>
  <si>
    <t>Risk Free Rate</t>
  </si>
  <si>
    <t>B2</t>
  </si>
  <si>
    <t>B</t>
  </si>
  <si>
    <t>Beta</t>
  </si>
  <si>
    <t>B3</t>
  </si>
  <si>
    <t>B-</t>
  </si>
  <si>
    <t>Market Risk Premium</t>
  </si>
  <si>
    <t>Caa</t>
  </si>
  <si>
    <t>CCC</t>
  </si>
  <si>
    <t>Ca2</t>
  </si>
  <si>
    <t>CC</t>
  </si>
  <si>
    <t>C2</t>
  </si>
  <si>
    <t>C</t>
  </si>
  <si>
    <t>Bottom-Up Beta</t>
  </si>
  <si>
    <t>D2</t>
  </si>
  <si>
    <t>D</t>
  </si>
  <si>
    <t>Levered Beta</t>
  </si>
  <si>
    <t>Debt/Equity</t>
  </si>
  <si>
    <t>Unlevered Beta</t>
  </si>
  <si>
    <t>Relevered Beta</t>
  </si>
  <si>
    <t>Basic Shares Outstanding</t>
  </si>
  <si>
    <t>Basic Shares</t>
  </si>
  <si>
    <t>Plus: Dilution From Options</t>
  </si>
  <si>
    <t>Fully Diluted Shares</t>
  </si>
  <si>
    <t>Fully Diluted Shares (mm):</t>
  </si>
  <si>
    <t>Treasury Stock Method</t>
  </si>
  <si>
    <t>Derivative Type</t>
  </si>
  <si>
    <t>Contracts Outstanding</t>
  </si>
  <si>
    <t>Exercise Price</t>
  </si>
  <si>
    <t>Proceeds</t>
  </si>
  <si>
    <t>Shares Repurchased</t>
  </si>
  <si>
    <t>Dilution</t>
  </si>
  <si>
    <t>Service Period RSUs</t>
  </si>
  <si>
    <t>Performance Based RSUs</t>
  </si>
  <si>
    <t>Service Period Stock Options</t>
  </si>
  <si>
    <t>Options</t>
  </si>
  <si>
    <t>Total</t>
  </si>
  <si>
    <t>Bull</t>
  </si>
  <si>
    <t>Bear</t>
  </si>
  <si>
    <t>Projection Period</t>
  </si>
  <si>
    <t>In Millons ($)</t>
  </si>
  <si>
    <t>Cash Flow from Operating Activities</t>
  </si>
  <si>
    <t>Cash Flow from Investing Activities</t>
  </si>
  <si>
    <t>Cash Available for Debt Repayment</t>
  </si>
  <si>
    <t>Total Mandatory Repayments</t>
  </si>
  <si>
    <t>Cash Available for Optional Debt</t>
  </si>
  <si>
    <t>Historic</t>
  </si>
  <si>
    <t>Projection</t>
  </si>
  <si>
    <t>Total Value Per Share</t>
  </si>
  <si>
    <t>Share Price</t>
  </si>
  <si>
    <t>Cash Value Per Share</t>
  </si>
  <si>
    <t>Equity Value Per Share</t>
  </si>
  <si>
    <t>Bear Case</t>
  </si>
  <si>
    <t>Base Case</t>
  </si>
  <si>
    <t>Bull Case</t>
  </si>
  <si>
    <t>Dividend Value Per Share</t>
  </si>
  <si>
    <t>P/(LTM)FCF</t>
  </si>
  <si>
    <t>FCF Per Share</t>
  </si>
  <si>
    <t>Operating Cash Flow</t>
  </si>
  <si>
    <t>Less CapEX</t>
  </si>
  <si>
    <t>Less Mandatory Debt Repayments</t>
  </si>
  <si>
    <t>Levered FCF</t>
  </si>
  <si>
    <t>Capital Allocation</t>
  </si>
  <si>
    <t xml:space="preserve">Dividends </t>
  </si>
  <si>
    <t>PV of Dividends</t>
  </si>
  <si>
    <t>PV of Dividends Per Share</t>
  </si>
  <si>
    <t>Annualized Dividends Per Share</t>
  </si>
  <si>
    <t>Share Repurchases</t>
  </si>
  <si>
    <t>Net Debt</t>
  </si>
  <si>
    <t>Leverage Ratio</t>
  </si>
  <si>
    <t>Change In Debt</t>
  </si>
  <si>
    <t>Share Buybacks</t>
  </si>
  <si>
    <t>Repurchased Shares</t>
  </si>
  <si>
    <t>FDSO</t>
  </si>
  <si>
    <t xml:space="preserve">IRR </t>
  </si>
  <si>
    <t>Exit Share Price</t>
  </si>
  <si>
    <t>Sensitivity Analysis: Exit Share Price</t>
  </si>
  <si>
    <t>Implied Premium</t>
  </si>
  <si>
    <t>Dividend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</si>
</sst>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.00_);_(&quot;$&quot;* \(#,##0.00\);_(&quot;$&quot;* &quot;-&quot;??_);_(@_)"/>
    <numFmt numFmtId="165" formatCode="0.00\x"/>
    <numFmt numFmtId="166" formatCode="_(&quot;$&quot;* #,##0_);_(&quot;$&quot;* \(#,##0\);_(&quot;$&quot;* &quot;-&quot;??_);_(@_)"/>
    <numFmt numFmtId="167" formatCode="&quot;$&quot;#,##0.00"/>
    <numFmt numFmtId="168" formatCode="0.0000%"/>
    <numFmt numFmtId="169" formatCode="_(&quot;$&quot;* #,##0.0_);_(&quot;$&quot;* \(#,##0.0\);_(&quot;$&quot;* &quot;-&quot;??_);_(@_)"/>
    <numFmt numFmtId="170" formatCode="_([$$-409]* #,##0.00_);_([$$-409]* \(#,##0.00\);_([$$-409]* &quot;-&quot;??_);_(@_)"/>
    <numFmt numFmtId="171" formatCode="0\x"/>
    <numFmt numFmtId="172" formatCode="_([$$-409]* #,##0_);_([$$-409]* \(#,##0\);_([$$-409]* &quot;-&quot;??_);_(@_)"/>
  </numFmts>
  <fonts count="36">
    <font>
      <sz val="12.0"/>
      <color theme="1"/>
      <name val="Calibri"/>
      <scheme val="minor"/>
    </font>
    <font>
      <sz val="12.0"/>
      <color theme="1"/>
      <name val="Arial"/>
    </font>
    <font>
      <b/>
      <sz val="12.0"/>
      <color theme="0"/>
      <name val="Arial"/>
    </font>
    <font/>
    <font>
      <sz val="12.0"/>
      <color theme="0"/>
      <name val="Arial"/>
    </font>
    <font>
      <b/>
      <sz val="12.0"/>
      <color theme="1"/>
      <name val="Arial"/>
    </font>
    <font>
      <i/>
      <sz val="12.0"/>
      <color theme="1"/>
      <name val="Arial"/>
    </font>
    <font>
      <sz val="8.0"/>
      <color theme="1"/>
      <name val="Arial"/>
    </font>
    <font>
      <sz val="12.0"/>
      <color theme="4"/>
      <name val="Arial"/>
    </font>
    <font>
      <sz val="12.0"/>
      <color rgb="FF000000"/>
      <name val="Arial"/>
    </font>
    <font>
      <b/>
      <sz val="20.0"/>
      <color theme="0"/>
      <name val="Arial"/>
    </font>
    <font>
      <b/>
      <i/>
      <sz val="12.0"/>
      <color theme="0"/>
      <name val="Arial"/>
    </font>
    <font>
      <b/>
      <i/>
      <sz val="12.0"/>
      <color theme="1"/>
      <name val="Arial"/>
    </font>
    <font>
      <b/>
      <sz val="12.0"/>
      <color rgb="FF000000"/>
      <name val="Arial"/>
    </font>
    <font>
      <i/>
      <sz val="12.0"/>
      <color rgb="FF000000"/>
      <name val="Arial"/>
    </font>
    <font>
      <b/>
      <sz val="12.0"/>
      <color rgb="FFFFFFFF"/>
      <name val="Arial"/>
    </font>
    <font>
      <sz val="12.0"/>
      <color rgb="FF0070C0"/>
      <name val="Arial"/>
    </font>
    <font>
      <sz val="12.0"/>
      <color rgb="FF5B9BD5"/>
      <name val="Arial"/>
    </font>
    <font>
      <i/>
      <sz val="12.0"/>
      <color rgb="FF0070C0"/>
      <name val="Arial"/>
    </font>
    <font>
      <i/>
      <sz val="12.0"/>
      <color theme="4"/>
      <name val="Arial"/>
    </font>
    <font>
      <i/>
      <sz val="12.0"/>
      <color rgb="FF4472C4"/>
      <name val="Arial"/>
    </font>
    <font>
      <sz val="12.0"/>
      <color rgb="FFFF0000"/>
      <name val="Arial"/>
    </font>
    <font>
      <b/>
      <i/>
      <sz val="12.0"/>
      <color rgb="FFFF0000"/>
      <name val="Arial"/>
    </font>
    <font>
      <sz val="12.0"/>
      <color rgb="FF3283BA"/>
      <name val="Arial"/>
    </font>
    <font>
      <sz val="12.0"/>
      <color rgb="FF4472C4"/>
      <name val="Arial"/>
    </font>
    <font>
      <color theme="1"/>
      <name val="Calibri"/>
      <scheme val="minor"/>
    </font>
    <font>
      <sz val="12.0"/>
      <color theme="1"/>
      <name val="Calibri"/>
    </font>
    <font>
      <b/>
      <i/>
      <sz val="12.0"/>
      <color theme="1"/>
      <name val="Calibri"/>
    </font>
    <font>
      <b/>
      <sz val="12.0"/>
      <color theme="1"/>
      <name val="Calibri"/>
    </font>
    <font>
      <b/>
      <sz val="12.0"/>
      <color theme="0"/>
      <name val="Calibri"/>
    </font>
    <font>
      <sz val="12.0"/>
      <color rgb="FF0070C0"/>
      <name val="Calibri"/>
    </font>
    <font>
      <sz val="11.0"/>
      <color theme="1"/>
      <name val="Calibri"/>
    </font>
    <font>
      <i/>
      <sz val="12.0"/>
      <color theme="1"/>
      <name val="Calibri"/>
    </font>
    <font>
      <i/>
      <sz val="12.0"/>
      <color theme="8"/>
      <name val="Calibri"/>
    </font>
    <font>
      <sz val="12.0"/>
      <color theme="8"/>
      <name val="Calibri"/>
    </font>
    <font>
      <sz val="12.0"/>
      <color rgb="FF3283BA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276140"/>
        <bgColor rgb="FF276140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757070"/>
        <bgColor rgb="FF757070"/>
      </patternFill>
    </fill>
    <fill>
      <patternFill patternType="solid">
        <fgColor rgb="FFE8E6E6"/>
        <bgColor rgb="FFE8E6E6"/>
      </patternFill>
    </fill>
    <fill>
      <patternFill patternType="solid">
        <fgColor rgb="FF002454"/>
        <bgColor rgb="FF00245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ECD3A"/>
        <bgColor rgb="FF9ECD3A"/>
      </patternFill>
    </fill>
    <fill>
      <patternFill patternType="solid">
        <fgColor rgb="FF27245F"/>
        <bgColor rgb="FF27245F"/>
      </patternFill>
    </fill>
  </fills>
  <borders count="5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top style="dotted">
        <color rgb="FF000000"/>
      </top>
    </border>
    <border>
      <bottom style="dotted">
        <color rgb="FF000000"/>
      </bottom>
    </border>
    <border>
      <left style="medium">
        <color rgb="FF000000"/>
      </lef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1" fillId="2" fontId="4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7" fillId="0" fontId="3" numFmtId="0" xfId="0" applyBorder="1" applyFont="1"/>
    <xf borderId="0" fillId="0" fontId="1" numFmtId="164" xfId="0" applyFont="1" applyNumberFormat="1"/>
    <xf borderId="8" fillId="3" fontId="4" numFmtId="164" xfId="0" applyAlignment="1" applyBorder="1" applyFill="1" applyFont="1" applyNumberFormat="1">
      <alignment horizontal="center" vertical="top"/>
    </xf>
    <xf borderId="2" fillId="0" fontId="1" numFmtId="165" xfId="0" applyAlignment="1" applyBorder="1" applyFont="1" applyNumberFormat="1">
      <alignment horizontal="center"/>
    </xf>
    <xf borderId="0" fillId="0" fontId="4" numFmtId="0" xfId="0" applyAlignment="1" applyFont="1">
      <alignment horizontal="right"/>
    </xf>
    <xf borderId="2" fillId="0" fontId="1" numFmtId="10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right"/>
    </xf>
    <xf borderId="0" fillId="0" fontId="5" numFmtId="0" xfId="0" applyFont="1"/>
    <xf borderId="0" fillId="0" fontId="5" numFmtId="166" xfId="0" applyFont="1" applyNumberFormat="1"/>
    <xf borderId="0" fillId="0" fontId="5" numFmtId="166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9" fillId="0" fontId="1" numFmtId="0" xfId="0" applyAlignment="1" applyBorder="1" applyFont="1">
      <alignment horizontal="right" textRotation="90" vertical="center"/>
    </xf>
    <xf borderId="10" fillId="0" fontId="1" numFmtId="10" xfId="0" applyBorder="1" applyFont="1" applyNumberFormat="1"/>
    <xf borderId="11" fillId="0" fontId="1" numFmtId="167" xfId="0" applyAlignment="1" applyBorder="1" applyFont="1" applyNumberFormat="1">
      <alignment horizontal="center" vertical="top"/>
    </xf>
    <xf borderId="12" fillId="0" fontId="1" numFmtId="167" xfId="0" applyAlignment="1" applyBorder="1" applyFont="1" applyNumberFormat="1">
      <alignment horizontal="center" vertical="top"/>
    </xf>
    <xf borderId="0" fillId="0" fontId="1" numFmtId="167" xfId="0" applyAlignment="1" applyFont="1" applyNumberFormat="1">
      <alignment horizontal="center"/>
    </xf>
    <xf borderId="0" fillId="0" fontId="1" numFmtId="10" xfId="0" applyAlignment="1" applyFont="1" applyNumberFormat="1">
      <alignment horizontal="right"/>
    </xf>
    <xf borderId="9" fillId="0" fontId="3" numFmtId="0" xfId="0" applyBorder="1" applyFont="1"/>
    <xf borderId="0" fillId="0" fontId="1" numFmtId="167" xfId="0" applyAlignment="1" applyFont="1" applyNumberFormat="1">
      <alignment horizontal="center" vertical="top"/>
    </xf>
    <xf borderId="13" fillId="0" fontId="1" numFmtId="167" xfId="0" applyAlignment="1" applyBorder="1" applyFont="1" applyNumberFormat="1">
      <alignment horizontal="center" vertical="top"/>
    </xf>
    <xf borderId="11" fillId="0" fontId="1" numFmtId="167" xfId="0" applyAlignment="1" applyBorder="1" applyFont="1" applyNumberFormat="1">
      <alignment horizontal="center"/>
    </xf>
    <xf borderId="12" fillId="0" fontId="1" numFmtId="167" xfId="0" applyAlignment="1" applyBorder="1" applyFont="1" applyNumberFormat="1">
      <alignment horizontal="center"/>
    </xf>
    <xf borderId="13" fillId="0" fontId="1" numFmtId="167" xfId="0" applyAlignment="1" applyBorder="1" applyFont="1" applyNumberFormat="1">
      <alignment horizontal="center"/>
    </xf>
    <xf borderId="0" fillId="0" fontId="1" numFmtId="165" xfId="0" applyFont="1" applyNumberFormat="1"/>
    <xf borderId="14" fillId="0" fontId="1" numFmtId="167" xfId="0" applyAlignment="1" applyBorder="1" applyFont="1" applyNumberFormat="1">
      <alignment horizontal="center" vertical="top"/>
    </xf>
    <xf borderId="15" fillId="4" fontId="1" numFmtId="167" xfId="0" applyAlignment="1" applyBorder="1" applyFill="1" applyFont="1" applyNumberFormat="1">
      <alignment horizontal="center" vertical="top"/>
    </xf>
    <xf borderId="9" fillId="0" fontId="1" numFmtId="167" xfId="0" applyAlignment="1" applyBorder="1" applyFont="1" applyNumberFormat="1">
      <alignment horizontal="center" vertical="top"/>
    </xf>
    <xf borderId="14" fillId="0" fontId="1" numFmtId="167" xfId="0" applyAlignment="1" applyBorder="1" applyFont="1" applyNumberFormat="1">
      <alignment horizontal="center"/>
    </xf>
    <xf borderId="15" fillId="4" fontId="1" numFmtId="167" xfId="0" applyAlignment="1" applyBorder="1" applyFont="1" applyNumberFormat="1">
      <alignment horizontal="center"/>
    </xf>
    <xf borderId="9" fillId="0" fontId="1" numFmtId="167" xfId="0" applyAlignment="1" applyBorder="1" applyFont="1" applyNumberFormat="1">
      <alignment horizontal="center"/>
    </xf>
    <xf borderId="12" fillId="0" fontId="5" numFmtId="0" xfId="0" applyBorder="1" applyFont="1"/>
    <xf borderId="12" fillId="0" fontId="5" numFmtId="10" xfId="0" applyAlignment="1" applyBorder="1" applyFont="1" applyNumberFormat="1">
      <alignment horizontal="right"/>
    </xf>
    <xf borderId="16" fillId="0" fontId="1" numFmtId="167" xfId="0" applyAlignment="1" applyBorder="1" applyFont="1" applyNumberFormat="1">
      <alignment horizontal="center" vertical="top"/>
    </xf>
    <xf borderId="7" fillId="0" fontId="1" numFmtId="167" xfId="0" applyAlignment="1" applyBorder="1" applyFont="1" applyNumberFormat="1">
      <alignment horizontal="center" vertical="top"/>
    </xf>
    <xf borderId="17" fillId="0" fontId="1" numFmtId="167" xfId="0" applyAlignment="1" applyBorder="1" applyFont="1" applyNumberFormat="1">
      <alignment horizontal="center" vertical="top"/>
    </xf>
    <xf borderId="16" fillId="0" fontId="1" numFmtId="167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/>
    </xf>
    <xf borderId="17" fillId="0" fontId="1" numFmtId="167" xfId="0" applyAlignment="1" applyBorder="1" applyFont="1" applyNumberFormat="1">
      <alignment horizontal="center"/>
    </xf>
    <xf borderId="7" fillId="0" fontId="1" numFmtId="0" xfId="0" applyBorder="1" applyFont="1"/>
    <xf borderId="7" fillId="0" fontId="1" numFmtId="10" xfId="0" applyBorder="1" applyFont="1" applyNumberFormat="1"/>
    <xf borderId="15" fillId="4" fontId="5" numFmtId="166" xfId="0" applyAlignment="1" applyBorder="1" applyFont="1" applyNumberFormat="1">
      <alignment horizontal="right"/>
    </xf>
    <xf borderId="2" fillId="0" fontId="1" numFmtId="0" xfId="0" applyBorder="1" applyFont="1"/>
    <xf borderId="2" fillId="0" fontId="1" numFmtId="166" xfId="0" applyAlignment="1" applyBorder="1" applyFont="1" applyNumberFormat="1">
      <alignment horizontal="right"/>
    </xf>
    <xf borderId="0" fillId="0" fontId="1" numFmtId="3" xfId="0" applyAlignment="1" applyFont="1" applyNumberFormat="1">
      <alignment horizontal="right"/>
    </xf>
    <xf borderId="12" fillId="0" fontId="5" numFmtId="164" xfId="0" applyAlignment="1" applyBorder="1" applyFont="1" applyNumberFormat="1">
      <alignment horizontal="right"/>
    </xf>
    <xf borderId="0" fillId="0" fontId="6" numFmtId="0" xfId="0" applyFont="1"/>
    <xf borderId="12" fillId="0" fontId="5" numFmtId="165" xfId="0" applyAlignment="1" applyBorder="1" applyFont="1" applyNumberFormat="1">
      <alignment horizontal="right"/>
    </xf>
    <xf borderId="0" fillId="0" fontId="4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1" fillId="0" fontId="1" numFmtId="10" xfId="0" applyAlignment="1" applyBorder="1" applyFont="1" applyNumberFormat="1">
      <alignment horizontal="center"/>
    </xf>
    <xf borderId="12" fillId="0" fontId="1" numFmtId="10" xfId="0" applyAlignment="1" applyBorder="1" applyFont="1" applyNumberFormat="1">
      <alignment horizontal="center"/>
    </xf>
    <xf borderId="13" fillId="0" fontId="1" numFmtId="10" xfId="0" applyAlignment="1" applyBorder="1" applyFont="1" applyNumberFormat="1">
      <alignment horizontal="center"/>
    </xf>
    <xf borderId="11" fillId="0" fontId="1" numFmtId="165" xfId="0" applyAlignment="1" applyBorder="1" applyFont="1" applyNumberFormat="1">
      <alignment horizontal="center"/>
    </xf>
    <xf borderId="12" fillId="0" fontId="1" numFmtId="165" xfId="0" applyAlignment="1" applyBorder="1" applyFont="1" applyNumberFormat="1">
      <alignment horizontal="center"/>
    </xf>
    <xf borderId="13" fillId="0" fontId="1" numFmtId="165" xfId="0" applyAlignment="1" applyBorder="1" applyFont="1" applyNumberFormat="1">
      <alignment horizontal="center"/>
    </xf>
    <xf borderId="14" fillId="0" fontId="1" numFmtId="10" xfId="0" applyAlignment="1" applyBorder="1" applyFont="1" applyNumberFormat="1">
      <alignment horizontal="center"/>
    </xf>
    <xf borderId="15" fillId="4" fontId="1" numFmtId="10" xfId="0" applyAlignment="1" applyBorder="1" applyFont="1" applyNumberFormat="1">
      <alignment horizontal="center"/>
    </xf>
    <xf borderId="9" fillId="0" fontId="1" numFmtId="10" xfId="0" applyAlignment="1" applyBorder="1" applyFont="1" applyNumberFormat="1">
      <alignment horizontal="center"/>
    </xf>
    <xf borderId="14" fillId="0" fontId="1" numFmtId="165" xfId="0" applyAlignment="1" applyBorder="1" applyFont="1" applyNumberFormat="1">
      <alignment horizontal="center"/>
    </xf>
    <xf borderId="15" fillId="4" fontId="1" numFmtId="165" xfId="0" applyAlignment="1" applyBorder="1" applyFont="1" applyNumberFormat="1">
      <alignment horizontal="center"/>
    </xf>
    <xf borderId="9" fillId="0" fontId="1" numFmtId="165" xfId="0" applyAlignment="1" applyBorder="1" applyFont="1" applyNumberFormat="1">
      <alignment horizontal="center"/>
    </xf>
    <xf borderId="16" fillId="0" fontId="1" numFmtId="10" xfId="0" applyAlignment="1" applyBorder="1" applyFont="1" applyNumberFormat="1">
      <alignment horizontal="center"/>
    </xf>
    <xf borderId="7" fillId="0" fontId="1" numFmtId="10" xfId="0" applyAlignment="1" applyBorder="1" applyFont="1" applyNumberFormat="1">
      <alignment horizontal="center"/>
    </xf>
    <xf borderId="17" fillId="0" fontId="1" numFmtId="10" xfId="0" applyAlignment="1" applyBorder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/>
    </xf>
    <xf borderId="17" fillId="0" fontId="1" numFmtId="165" xfId="0" applyAlignment="1" applyBorder="1" applyFont="1" applyNumberFormat="1">
      <alignment horizontal="center"/>
    </xf>
    <xf borderId="0" fillId="0" fontId="1" numFmtId="10" xfId="0" applyFont="1" applyNumberFormat="1"/>
    <xf borderId="0" fillId="0" fontId="4" numFmtId="0" xfId="0" applyAlignment="1" applyFont="1">
      <alignment horizontal="center"/>
    </xf>
    <xf borderId="10" fillId="0" fontId="1" numFmtId="10" xfId="0" applyAlignment="1" applyBorder="1" applyFont="1" applyNumberFormat="1">
      <alignment horizontal="right"/>
    </xf>
    <xf borderId="7" fillId="0" fontId="1" numFmtId="3" xfId="0" applyAlignment="1" applyBorder="1" applyFont="1" applyNumberFormat="1">
      <alignment horizontal="right"/>
    </xf>
    <xf borderId="0" fillId="0" fontId="5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18" fillId="2" fontId="4" numFmtId="0" xfId="0" applyBorder="1" applyFont="1"/>
    <xf borderId="18" fillId="2" fontId="4" numFmtId="164" xfId="0" applyAlignment="1" applyBorder="1" applyFont="1" applyNumberFormat="1">
      <alignment horizontal="right"/>
    </xf>
    <xf borderId="8" fillId="2" fontId="4" numFmtId="0" xfId="0" applyBorder="1" applyFont="1"/>
    <xf borderId="8" fillId="2" fontId="4" numFmtId="10" xfId="0" applyAlignment="1" applyBorder="1" applyFont="1" applyNumberFormat="1">
      <alignment horizontal="right"/>
    </xf>
    <xf borderId="19" fillId="2" fontId="2" numFmtId="0" xfId="0" applyAlignment="1" applyBorder="1" applyFont="1">
      <alignment horizontal="center"/>
    </xf>
    <xf borderId="20" fillId="2" fontId="2" numFmtId="0" xfId="0" applyAlignment="1" applyBorder="1" applyFont="1">
      <alignment horizontal="center"/>
    </xf>
    <xf borderId="21" fillId="2" fontId="2" numFmtId="0" xfId="0" applyAlignment="1" applyBorder="1" applyFont="1">
      <alignment horizontal="center"/>
    </xf>
    <xf borderId="22" fillId="0" fontId="1" numFmtId="0" xfId="0" applyBorder="1" applyFont="1"/>
    <xf borderId="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2" fillId="0" fontId="7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4" fillId="0" fontId="1" numFmtId="2" xfId="0" applyAlignment="1" applyBorder="1" applyFont="1" applyNumberFormat="1">
      <alignment horizontal="center"/>
    </xf>
    <xf borderId="14" fillId="0" fontId="8" numFmtId="0" xfId="0" applyAlignment="1" applyBorder="1" applyFont="1">
      <alignment horizontal="center"/>
    </xf>
    <xf borderId="16" fillId="0" fontId="1" numFmtId="0" xfId="0" applyBorder="1" applyFont="1"/>
    <xf borderId="24" fillId="0" fontId="1" numFmtId="0" xfId="0" applyBorder="1" applyFont="1"/>
    <xf borderId="4" fillId="3" fontId="4" numFmtId="0" xfId="0" applyAlignment="1" applyBorder="1" applyFont="1">
      <alignment horizontal="center"/>
    </xf>
    <xf borderId="25" fillId="0" fontId="6" numFmtId="0" xfId="0" applyBorder="1" applyFont="1"/>
    <xf borderId="2" fillId="0" fontId="6" numFmtId="2" xfId="0" applyAlignment="1" applyBorder="1" applyFont="1" applyNumberFormat="1">
      <alignment horizontal="center"/>
    </xf>
    <xf borderId="23" fillId="0" fontId="6" numFmtId="2" xfId="0" applyAlignment="1" applyBorder="1" applyFont="1" applyNumberFormat="1">
      <alignment horizontal="center"/>
    </xf>
    <xf borderId="8" fillId="3" fontId="1" numFmtId="0" xfId="0" applyBorder="1" applyFont="1"/>
    <xf borderId="4" fillId="3" fontId="5" numFmtId="0" xfId="0" applyAlignment="1" applyBorder="1" applyFont="1">
      <alignment horizontal="center"/>
    </xf>
    <xf borderId="26" fillId="4" fontId="5" numFmtId="0" xfId="0" applyBorder="1" applyFont="1"/>
    <xf borderId="27" fillId="4" fontId="1" numFmtId="0" xfId="0" applyBorder="1" applyFont="1"/>
    <xf borderId="28" fillId="4" fontId="5" numFmtId="2" xfId="0" applyAlignment="1" applyBorder="1" applyFont="1" applyNumberFormat="1">
      <alignment horizontal="center"/>
    </xf>
    <xf borderId="8" fillId="3" fontId="1" numFmtId="165" xfId="0" applyAlignment="1" applyBorder="1" applyFont="1" applyNumberFormat="1">
      <alignment horizontal="center"/>
    </xf>
    <xf borderId="8" fillId="3" fontId="1" numFmtId="10" xfId="0" applyBorder="1" applyFont="1" applyNumberFormat="1"/>
    <xf borderId="8" fillId="3" fontId="1" numFmtId="167" xfId="0" applyAlignment="1" applyBorder="1" applyFont="1" applyNumberFormat="1">
      <alignment horizontal="center" vertical="top"/>
    </xf>
    <xf borderId="29" fillId="5" fontId="2" numFmtId="0" xfId="0" applyAlignment="1" applyBorder="1" applyFill="1" applyFont="1">
      <alignment horizontal="center"/>
    </xf>
    <xf borderId="30" fillId="0" fontId="3" numFmtId="0" xfId="0" applyBorder="1" applyFont="1"/>
    <xf borderId="31" fillId="3" fontId="1" numFmtId="0" xfId="0" applyAlignment="1" applyBorder="1" applyFont="1">
      <alignment horizontal="left"/>
    </xf>
    <xf borderId="32" fillId="4" fontId="9" numFmtId="0" xfId="0" applyBorder="1" applyFont="1"/>
    <xf borderId="32" fillId="4" fontId="1" numFmtId="0" xfId="0" applyAlignment="1" applyBorder="1" applyFont="1">
      <alignment horizontal="left"/>
    </xf>
    <xf borderId="32" fillId="4" fontId="1" numFmtId="0" xfId="0" applyAlignment="1" applyBorder="1" applyFont="1">
      <alignment horizontal="left" shrinkToFit="0" wrapText="1"/>
    </xf>
    <xf borderId="32" fillId="4" fontId="1" numFmtId="167" xfId="0" applyAlignment="1" applyBorder="1" applyFont="1" applyNumberFormat="1">
      <alignment horizontal="left"/>
    </xf>
    <xf borderId="32" fillId="4" fontId="1" numFmtId="9" xfId="0" applyAlignment="1" applyBorder="1" applyFont="1" applyNumberFormat="1">
      <alignment horizontal="left"/>
    </xf>
    <xf borderId="32" fillId="4" fontId="1" numFmtId="165" xfId="0" applyAlignment="1" applyBorder="1" applyFont="1" applyNumberFormat="1">
      <alignment horizontal="left"/>
    </xf>
    <xf borderId="32" fillId="4" fontId="1" numFmtId="10" xfId="0" applyAlignment="1" applyBorder="1" applyFont="1" applyNumberFormat="1">
      <alignment horizontal="left"/>
    </xf>
    <xf borderId="32" fillId="6" fontId="1" numFmtId="14" xfId="0" applyAlignment="1" applyBorder="1" applyFill="1" applyFont="1" applyNumberFormat="1">
      <alignment horizontal="left"/>
    </xf>
    <xf borderId="32" fillId="4" fontId="1" numFmtId="14" xfId="0" applyAlignment="1" applyBorder="1" applyFont="1" applyNumberFormat="1">
      <alignment horizontal="left"/>
    </xf>
    <xf borderId="32" fillId="4" fontId="1" numFmtId="16" xfId="0" applyAlignment="1" applyBorder="1" applyFont="1" applyNumberFormat="1">
      <alignment horizontal="left"/>
    </xf>
    <xf borderId="32" fillId="4" fontId="1" numFmtId="2" xfId="0" applyAlignment="1" applyBorder="1" applyFont="1" applyNumberFormat="1">
      <alignment horizontal="left"/>
    </xf>
    <xf borderId="33" fillId="0" fontId="1" numFmtId="0" xfId="0" applyBorder="1" applyFont="1"/>
    <xf borderId="28" fillId="4" fontId="1" numFmtId="10" xfId="0" applyAlignment="1" applyBorder="1" applyFont="1" applyNumberFormat="1">
      <alignment horizontal="left"/>
    </xf>
    <xf borderId="8" fillId="5" fontId="10" numFmtId="0" xfId="0" applyBorder="1" applyFont="1"/>
    <xf borderId="8" fillId="5" fontId="2" numFmtId="0" xfId="0" applyBorder="1" applyFont="1"/>
    <xf borderId="8" fillId="5" fontId="11" numFmtId="0" xfId="0" applyBorder="1" applyFont="1"/>
    <xf borderId="4" fillId="5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7" fillId="0" fontId="12" numFmtId="0" xfId="0" applyBorder="1" applyFont="1"/>
    <xf borderId="0" fillId="0" fontId="5" numFmtId="0" xfId="0" applyAlignment="1" applyFont="1">
      <alignment horizontal="center"/>
    </xf>
    <xf borderId="7" fillId="0" fontId="13" numFmtId="0" xfId="0" applyAlignment="1" applyBorder="1" applyFont="1">
      <alignment horizontal="center"/>
    </xf>
    <xf borderId="0" fillId="0" fontId="9" numFmtId="0" xfId="0" applyFont="1"/>
    <xf borderId="0" fillId="0" fontId="13" numFmtId="166" xfId="0" applyFont="1" applyNumberFormat="1"/>
    <xf borderId="0" fillId="0" fontId="12" numFmtId="0" xfId="0" applyAlignment="1" applyFont="1">
      <alignment horizontal="center"/>
    </xf>
    <xf borderId="0" fillId="0" fontId="9" numFmtId="166" xfId="0" applyFont="1" applyNumberFormat="1"/>
    <xf borderId="8" fillId="4" fontId="14" numFmtId="0" xfId="0" applyAlignment="1" applyBorder="1" applyFont="1">
      <alignment horizontal="right"/>
    </xf>
    <xf borderId="8" fillId="4" fontId="14" numFmtId="10" xfId="0" applyAlignment="1" applyBorder="1" applyFont="1" applyNumberFormat="1">
      <alignment horizontal="right"/>
    </xf>
    <xf borderId="8" fillId="4" fontId="6" numFmtId="10" xfId="0" applyAlignment="1" applyBorder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9" numFmtId="166" xfId="0" applyAlignment="1" applyFont="1" applyNumberFormat="1">
      <alignment horizontal="right"/>
    </xf>
    <xf borderId="8" fillId="4" fontId="9" numFmtId="10" xfId="0" applyAlignment="1" applyBorder="1" applyFont="1" applyNumberFormat="1">
      <alignment horizontal="right"/>
    </xf>
    <xf borderId="0" fillId="0" fontId="1" numFmtId="166" xfId="0" applyFont="1" applyNumberFormat="1"/>
    <xf borderId="34" fillId="0" fontId="1" numFmtId="0" xfId="0" applyBorder="1" applyFont="1"/>
    <xf borderId="34" fillId="0" fontId="9" numFmtId="0" xfId="0" applyBorder="1" applyFont="1"/>
    <xf borderId="35" fillId="0" fontId="1" numFmtId="0" xfId="0" applyBorder="1" applyFont="1"/>
    <xf borderId="35" fillId="0" fontId="9" numFmtId="166" xfId="0" applyBorder="1" applyFont="1" applyNumberFormat="1"/>
    <xf borderId="35" fillId="0" fontId="9" numFmtId="166" xfId="0" applyAlignment="1" applyBorder="1" applyFont="1" applyNumberFormat="1">
      <alignment horizontal="right"/>
    </xf>
    <xf borderId="0" fillId="0" fontId="8" numFmtId="166" xfId="0" applyAlignment="1" applyFont="1" applyNumberFormat="1">
      <alignment horizontal="right"/>
    </xf>
    <xf borderId="8" fillId="3" fontId="9" numFmtId="166" xfId="0" applyAlignment="1" applyBorder="1" applyFont="1" applyNumberFormat="1">
      <alignment horizontal="right"/>
    </xf>
    <xf borderId="8" fillId="4" fontId="1" numFmtId="10" xfId="0" applyAlignment="1" applyBorder="1" applyFont="1" applyNumberFormat="1">
      <alignment horizontal="right"/>
    </xf>
    <xf borderId="0" fillId="0" fontId="6" numFmtId="0" xfId="0" applyAlignment="1" applyFont="1">
      <alignment horizontal="center"/>
    </xf>
    <xf borderId="8" fillId="3" fontId="6" numFmtId="10" xfId="0" applyAlignment="1" applyBorder="1" applyFont="1" applyNumberFormat="1">
      <alignment horizontal="center"/>
    </xf>
    <xf borderId="0" fillId="0" fontId="9" numFmtId="2" xfId="0" applyFont="1" applyNumberFormat="1"/>
    <xf borderId="0" fillId="0" fontId="9" numFmtId="2" xfId="0" applyAlignment="1" applyFont="1" applyNumberFormat="1">
      <alignment horizontal="right"/>
    </xf>
    <xf borderId="8" fillId="2" fontId="2" numFmtId="0" xfId="0" applyBorder="1" applyFont="1"/>
    <xf borderId="8" fillId="2" fontId="2" numFmtId="166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8" fillId="3" fontId="1" numFmtId="0" xfId="0" applyAlignment="1" applyBorder="1" applyFont="1">
      <alignment horizontal="center"/>
    </xf>
    <xf borderId="0" fillId="0" fontId="5" numFmtId="0" xfId="0" applyAlignment="1" applyFont="1">
      <alignment horizontal="left"/>
    </xf>
    <xf borderId="8" fillId="3" fontId="1" numFmtId="166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8" xfId="0" applyFont="1" applyNumberFormat="1"/>
    <xf borderId="0" fillId="0" fontId="1" numFmtId="9" xfId="0" applyFont="1" applyNumberFormat="1"/>
    <xf borderId="8" fillId="3" fontId="1" numFmtId="10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Border="1" applyFont="1"/>
    <xf borderId="0" fillId="0" fontId="1" numFmtId="2" xfId="0" applyFont="1" applyNumberFormat="1"/>
    <xf borderId="8" fillId="5" fontId="2" numFmtId="0" xfId="0" applyAlignment="1" applyBorder="1" applyFont="1">
      <alignment horizontal="center"/>
    </xf>
    <xf borderId="8" fillId="3" fontId="5" numFmtId="0" xfId="0" applyAlignment="1" applyBorder="1" applyFont="1">
      <alignment horizontal="center"/>
    </xf>
    <xf borderId="0" fillId="0" fontId="5" numFmtId="169" xfId="0" applyFont="1" applyNumberFormat="1"/>
    <xf borderId="8" fillId="3" fontId="5" numFmtId="166" xfId="0" applyBorder="1" applyFont="1" applyNumberFormat="1"/>
    <xf borderId="36" fillId="7" fontId="15" numFmtId="0" xfId="0" applyAlignment="1" applyBorder="1" applyFill="1" applyFont="1">
      <alignment horizontal="center"/>
    </xf>
    <xf borderId="35" fillId="0" fontId="6" numFmtId="0" xfId="0" applyBorder="1" applyFont="1"/>
    <xf borderId="37" fillId="4" fontId="6" numFmtId="10" xfId="0" applyAlignment="1" applyBorder="1" applyFont="1" applyNumberFormat="1">
      <alignment horizontal="right"/>
    </xf>
    <xf borderId="8" fillId="3" fontId="6" numFmtId="10" xfId="0" applyAlignment="1" applyBorder="1" applyFont="1" applyNumberFormat="1">
      <alignment horizontal="right"/>
    </xf>
    <xf borderId="0" fillId="0" fontId="13" numFmtId="0" xfId="0" applyAlignment="1" applyFont="1">
      <alignment horizontal="center"/>
    </xf>
    <xf borderId="0" fillId="0" fontId="16" numFmtId="166" xfId="0" applyFont="1" applyNumberFormat="1"/>
    <xf borderId="8" fillId="3" fontId="1" numFmtId="166" xfId="0" applyAlignment="1" applyBorder="1" applyFont="1" applyNumberFormat="1">
      <alignment horizontal="right"/>
    </xf>
    <xf borderId="0" fillId="0" fontId="16" numFmtId="164" xfId="0" applyFont="1" applyNumberFormat="1"/>
    <xf borderId="8" fillId="3" fontId="1" numFmtId="164" xfId="0" applyAlignment="1" applyBorder="1" applyFont="1" applyNumberFormat="1">
      <alignment horizontal="right"/>
    </xf>
    <xf borderId="0" fillId="0" fontId="8" numFmtId="164" xfId="0" applyAlignment="1" applyFont="1" applyNumberFormat="1">
      <alignment horizontal="right"/>
    </xf>
    <xf borderId="8" fillId="8" fontId="17" numFmtId="9" xfId="0" applyBorder="1" applyFill="1" applyFont="1" applyNumberFormat="1"/>
    <xf borderId="8" fillId="4" fontId="6" numFmtId="164" xfId="0" applyAlignment="1" applyBorder="1" applyFont="1" applyNumberFormat="1">
      <alignment horizontal="right"/>
    </xf>
    <xf borderId="8" fillId="3" fontId="18" numFmtId="10" xfId="0" applyAlignment="1" applyBorder="1" applyFont="1" applyNumberFormat="1">
      <alignment horizontal="right"/>
    </xf>
    <xf borderId="8" fillId="4" fontId="18" numFmtId="10" xfId="0" applyAlignment="1" applyBorder="1" applyFont="1" applyNumberFormat="1">
      <alignment horizontal="right"/>
    </xf>
    <xf borderId="8" fillId="3" fontId="8" numFmtId="169" xfId="0" applyBorder="1" applyFont="1" applyNumberFormat="1"/>
    <xf borderId="8" fillId="4" fontId="1" numFmtId="164" xfId="0" applyAlignment="1" applyBorder="1" applyFont="1" applyNumberFormat="1">
      <alignment horizontal="right"/>
    </xf>
    <xf borderId="8" fillId="4" fontId="6" numFmtId="10" xfId="0" applyAlignment="1" applyBorder="1" applyFont="1" applyNumberFormat="1">
      <alignment horizontal="right"/>
    </xf>
    <xf borderId="8" fillId="4" fontId="19" numFmtId="10" xfId="0" applyAlignment="1" applyBorder="1" applyFont="1" applyNumberFormat="1">
      <alignment horizontal="right"/>
    </xf>
    <xf borderId="8" fillId="4" fontId="19" numFmtId="10" xfId="0" applyAlignment="1" applyBorder="1" applyFont="1" applyNumberFormat="1">
      <alignment horizontal="right" shrinkToFit="0" wrapText="1"/>
    </xf>
    <xf borderId="8" fillId="3" fontId="1" numFmtId="164" xfId="0" applyBorder="1" applyFont="1" applyNumberFormat="1"/>
    <xf borderId="8" fillId="4" fontId="20" numFmtId="10" xfId="0" applyAlignment="1" applyBorder="1" applyFont="1" applyNumberFormat="1">
      <alignment horizontal="right"/>
    </xf>
    <xf borderId="0" fillId="0" fontId="6" numFmtId="10" xfId="0" applyAlignment="1" applyFont="1" applyNumberFormat="1">
      <alignment horizontal="right"/>
    </xf>
    <xf borderId="12" fillId="0" fontId="1" numFmtId="0" xfId="0" applyBorder="1" applyFont="1"/>
    <xf borderId="12" fillId="0" fontId="1" numFmtId="164" xfId="0" applyBorder="1" applyFont="1" applyNumberFormat="1"/>
    <xf borderId="0" fillId="0" fontId="16" numFmtId="169" xfId="0" applyFont="1" applyNumberFormat="1"/>
    <xf borderId="8" fillId="3" fontId="21" numFmtId="10" xfId="0" applyAlignment="1" applyBorder="1" applyFont="1" applyNumberFormat="1">
      <alignment horizontal="right"/>
    </xf>
    <xf borderId="8" fillId="4" fontId="16" numFmtId="10" xfId="0" applyAlignment="1" applyBorder="1" applyFont="1" applyNumberFormat="1">
      <alignment horizontal="right"/>
    </xf>
    <xf borderId="8" fillId="3" fontId="6" numFmtId="0" xfId="0" applyBorder="1" applyFont="1"/>
    <xf borderId="8" fillId="3" fontId="16" numFmtId="10" xfId="0" applyAlignment="1" applyBorder="1" applyFont="1" applyNumberFormat="1">
      <alignment horizontal="right"/>
    </xf>
    <xf borderId="35" fillId="0" fontId="5" numFmtId="0" xfId="0" applyBorder="1" applyFont="1"/>
    <xf borderId="35" fillId="0" fontId="1" numFmtId="166" xfId="0" applyBorder="1" applyFont="1" applyNumberFormat="1"/>
    <xf borderId="35" fillId="0" fontId="1" numFmtId="166" xfId="0" applyAlignment="1" applyBorder="1" applyFont="1" applyNumberFormat="1">
      <alignment horizontal="right"/>
    </xf>
    <xf borderId="0" fillId="0" fontId="22" numFmtId="0" xfId="0" applyFont="1"/>
    <xf borderId="0" fillId="0" fontId="16" numFmtId="166" xfId="0" applyAlignment="1" applyFont="1" applyNumberFormat="1">
      <alignment horizontal="right"/>
    </xf>
    <xf borderId="8" fillId="3" fontId="1" numFmtId="10" xfId="0" applyAlignment="1" applyBorder="1" applyFont="1" applyNumberFormat="1">
      <alignment horizontal="right"/>
    </xf>
    <xf borderId="8" fillId="3" fontId="8" numFmtId="169" xfId="0" applyAlignment="1" applyBorder="1" applyFont="1" applyNumberFormat="1">
      <alignment horizontal="right"/>
    </xf>
    <xf borderId="8" fillId="3" fontId="1" numFmtId="166" xfId="0" applyBorder="1" applyFont="1" applyNumberFormat="1"/>
    <xf borderId="0" fillId="0" fontId="16" numFmtId="10" xfId="0" applyAlignment="1" applyFont="1" applyNumberFormat="1">
      <alignment horizontal="right"/>
    </xf>
    <xf borderId="0" fillId="0" fontId="8" numFmtId="169" xfId="0" applyFont="1" applyNumberFormat="1"/>
    <xf borderId="8" fillId="3" fontId="16" numFmtId="10" xfId="0" applyBorder="1" applyFont="1" applyNumberFormat="1"/>
    <xf borderId="0" fillId="0" fontId="16" numFmtId="10" xfId="0" applyFont="1" applyNumberFormat="1"/>
    <xf borderId="2" fillId="0" fontId="5" numFmtId="0" xfId="0" applyBorder="1" applyFont="1"/>
    <xf borderId="2" fillId="0" fontId="5" numFmtId="164" xfId="0" applyAlignment="1" applyBorder="1" applyFont="1" applyNumberFormat="1">
      <alignment horizontal="right"/>
    </xf>
    <xf borderId="8" fillId="3" fontId="5" numFmtId="166" xfId="0" applyAlignment="1" applyBorder="1" applyFont="1" applyNumberFormat="1">
      <alignment horizontal="right"/>
    </xf>
    <xf borderId="2" fillId="0" fontId="5" numFmtId="166" xfId="0" applyAlignment="1" applyBorder="1" applyFont="1" applyNumberFormat="1">
      <alignment horizontal="right"/>
    </xf>
    <xf borderId="8" fillId="4" fontId="6" numFmtId="2" xfId="0" applyBorder="1" applyFont="1" applyNumberFormat="1"/>
    <xf borderId="8" fillId="3" fontId="18" numFmtId="2" xfId="0" applyBorder="1" applyFont="1" applyNumberFormat="1"/>
    <xf borderId="8" fillId="4" fontId="18" numFmtId="2" xfId="0" applyBorder="1" applyFont="1" applyNumberFormat="1"/>
    <xf borderId="0" fillId="0" fontId="6" numFmtId="164" xfId="0" applyFont="1" applyNumberFormat="1"/>
    <xf borderId="0" fillId="0" fontId="18" numFmtId="2" xfId="0" applyFont="1" applyNumberFormat="1"/>
    <xf borderId="8" fillId="4" fontId="6" numFmtId="10" xfId="0" applyBorder="1" applyFont="1" applyNumberFormat="1"/>
    <xf borderId="8" fillId="3" fontId="18" numFmtId="10" xfId="0" applyBorder="1" applyFont="1" applyNumberFormat="1"/>
    <xf borderId="8" fillId="4" fontId="18" numFmtId="10" xfId="0" applyBorder="1" applyFont="1" applyNumberFormat="1"/>
    <xf borderId="0" fillId="0" fontId="6" numFmtId="10" xfId="0" applyFont="1" applyNumberFormat="1"/>
    <xf borderId="0" fillId="0" fontId="18" numFmtId="10" xfId="0" applyFont="1" applyNumberFormat="1"/>
    <xf borderId="37" fillId="4" fontId="6" numFmtId="10" xfId="0" applyBorder="1" applyFont="1" applyNumberFormat="1"/>
    <xf borderId="37" fillId="4" fontId="18" numFmtId="10" xfId="0" applyBorder="1" applyFont="1" applyNumberFormat="1"/>
    <xf borderId="8" fillId="3" fontId="6" numFmtId="164" xfId="0" applyBorder="1" applyFont="1" applyNumberFormat="1"/>
    <xf borderId="8" fillId="3" fontId="23" numFmtId="166" xfId="0" applyBorder="1" applyFont="1" applyNumberFormat="1"/>
    <xf borderId="8" fillId="3" fontId="16" numFmtId="166" xfId="0" applyBorder="1" applyFont="1" applyNumberFormat="1"/>
    <xf borderId="8" fillId="3" fontId="18" numFmtId="166" xfId="0" applyBorder="1" applyFont="1" applyNumberFormat="1"/>
    <xf borderId="8" fillId="4" fontId="1" numFmtId="10" xfId="0" applyBorder="1" applyFont="1" applyNumberFormat="1"/>
    <xf borderId="12" fillId="0" fontId="1" numFmtId="166" xfId="0" applyBorder="1" applyFont="1" applyNumberFormat="1"/>
    <xf borderId="8" fillId="3" fontId="6" numFmtId="10" xfId="0" applyBorder="1" applyFont="1" applyNumberFormat="1"/>
    <xf borderId="0" fillId="0" fontId="16" numFmtId="164" xfId="0" applyAlignment="1" applyFont="1" applyNumberFormat="1">
      <alignment horizontal="right"/>
    </xf>
    <xf borderId="7" fillId="0" fontId="6" numFmtId="0" xfId="0" applyBorder="1" applyFont="1"/>
    <xf borderId="38" fillId="4" fontId="6" numFmtId="10" xfId="0" applyBorder="1" applyFont="1" applyNumberFormat="1"/>
    <xf borderId="0" fillId="0" fontId="12" numFmtId="0" xfId="0" applyFont="1"/>
    <xf borderId="0" fillId="0" fontId="2" numFmtId="0" xfId="0" applyAlignment="1" applyFont="1">
      <alignment horizontal="center"/>
    </xf>
    <xf borderId="24" fillId="0" fontId="1" numFmtId="10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0" fillId="0" fontId="8" numFmtId="10" xfId="0" applyFont="1" applyNumberFormat="1"/>
    <xf borderId="39" fillId="4" fontId="5" numFmtId="0" xfId="0" applyBorder="1" applyFont="1"/>
    <xf borderId="40" fillId="4" fontId="5" numFmtId="10" xfId="0" applyAlignment="1" applyBorder="1" applyFont="1" applyNumberFormat="1">
      <alignment horizontal="center"/>
    </xf>
    <xf borderId="41" fillId="4" fontId="5" numFmtId="10" xfId="0" applyAlignment="1" applyBorder="1" applyFont="1" applyNumberFormat="1">
      <alignment horizontal="center"/>
    </xf>
    <xf borderId="14" fillId="0" fontId="1" numFmtId="0" xfId="0" applyAlignment="1" applyBorder="1" applyFont="1">
      <alignment horizontal="center"/>
    </xf>
    <xf borderId="29" fillId="2" fontId="2" numFmtId="0" xfId="0" applyAlignment="1" applyBorder="1" applyFont="1">
      <alignment horizontal="center"/>
    </xf>
    <xf borderId="24" fillId="0" fontId="8" numFmtId="166" xfId="0" applyBorder="1" applyFont="1" applyNumberFormat="1"/>
    <xf borderId="42" fillId="0" fontId="1" numFmtId="0" xfId="0" applyBorder="1" applyFont="1"/>
    <xf borderId="43" fillId="0" fontId="8" numFmtId="166" xfId="0" applyBorder="1" applyFont="1" applyNumberFormat="1"/>
    <xf borderId="28" fillId="4" fontId="5" numFmtId="166" xfId="0" applyBorder="1" applyFont="1" applyNumberFormat="1"/>
    <xf borderId="44" fillId="2" fontId="2" numFmtId="0" xfId="0" applyAlignment="1" applyBorder="1" applyFont="1">
      <alignment horizontal="center"/>
    </xf>
    <xf borderId="45" fillId="0" fontId="3" numFmtId="0" xfId="0" applyBorder="1" applyFont="1"/>
    <xf borderId="0" fillId="0" fontId="8" numFmtId="0" xfId="0" applyFont="1"/>
    <xf borderId="24" fillId="0" fontId="8" numFmtId="166" xfId="0" applyAlignment="1" applyBorder="1" applyFont="1" applyNumberFormat="1">
      <alignment horizontal="right"/>
    </xf>
    <xf borderId="16" fillId="0" fontId="1" numFmtId="0" xfId="0" applyAlignment="1" applyBorder="1" applyFont="1">
      <alignment horizontal="center"/>
    </xf>
    <xf borderId="17" fillId="0" fontId="3" numFmtId="0" xfId="0" applyBorder="1" applyFont="1"/>
    <xf borderId="9" fillId="0" fontId="1" numFmtId="0" xfId="0" applyBorder="1" applyFont="1"/>
    <xf borderId="32" fillId="9" fontId="8" numFmtId="164" xfId="0" applyAlignment="1" applyBorder="1" applyFill="1" applyFont="1" applyNumberFormat="1">
      <alignment horizontal="right"/>
    </xf>
    <xf borderId="41" fillId="4" fontId="5" numFmtId="10" xfId="0" applyAlignment="1" applyBorder="1" applyFont="1" applyNumberFormat="1">
      <alignment horizontal="right"/>
    </xf>
    <xf borderId="1" fillId="0" fontId="1" numFmtId="0" xfId="0" applyAlignment="1" applyBorder="1" applyFont="1">
      <alignment horizontal="center"/>
    </xf>
    <xf borderId="24" fillId="0" fontId="1" numFmtId="10" xfId="0" applyBorder="1" applyFont="1" applyNumberFormat="1"/>
    <xf borderId="24" fillId="0" fontId="1" numFmtId="2" xfId="0" applyBorder="1" applyFont="1" applyNumberFormat="1"/>
    <xf borderId="24" fillId="0" fontId="8" numFmtId="10" xfId="0" applyBorder="1" applyFont="1" applyNumberFormat="1"/>
    <xf borderId="28" fillId="4" fontId="5" numFmtId="10" xfId="0" applyBorder="1" applyFont="1" applyNumberFormat="1"/>
    <xf borderId="7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0" fillId="0" fontId="8" numFmtId="9" xfId="0" applyAlignment="1" applyFont="1" applyNumberForma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14" fillId="0" fontId="24" numFmtId="0" xfId="0" applyAlignment="1" applyBorder="1" applyFont="1">
      <alignment horizontal="center" readingOrder="0"/>
    </xf>
    <xf borderId="0" fillId="0" fontId="6" numFmtId="2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46" fillId="0" fontId="1" numFmtId="0" xfId="0" applyBorder="1" applyFont="1"/>
    <xf borderId="47" fillId="4" fontId="1" numFmtId="164" xfId="0" applyBorder="1" applyFont="1" applyNumberFormat="1"/>
    <xf borderId="8" fillId="4" fontId="1" numFmtId="3" xfId="0" applyBorder="1" applyFont="1" applyNumberFormat="1"/>
    <xf borderId="32" fillId="4" fontId="1" numFmtId="3" xfId="0" applyBorder="1" applyFont="1" applyNumberFormat="1"/>
    <xf borderId="48" fillId="4" fontId="1" numFmtId="3" xfId="0" applyBorder="1" applyFont="1" applyNumberFormat="1"/>
    <xf borderId="28" fillId="4" fontId="1" numFmtId="4" xfId="0" applyBorder="1" applyFont="1" applyNumberFormat="1"/>
    <xf borderId="49" fillId="0" fontId="3" numFmtId="0" xfId="0" applyBorder="1" applyFont="1"/>
    <xf borderId="25" fillId="0" fontId="1" numFmtId="0" xfId="0" applyBorder="1" applyFont="1"/>
    <xf borderId="25" fillId="0" fontId="1" numFmtId="0" xfId="0" applyAlignment="1" applyBorder="1" applyFont="1">
      <alignment horizontal="center"/>
    </xf>
    <xf borderId="2" fillId="0" fontId="1" numFmtId="3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0" fontId="1" numFmtId="166" xfId="0" applyAlignment="1" applyBorder="1" applyFont="1" applyNumberFormat="1">
      <alignment horizontal="center"/>
    </xf>
    <xf borderId="23" fillId="0" fontId="1" numFmtId="3" xfId="0" applyAlignment="1" applyBorder="1" applyFont="1" applyNumberFormat="1">
      <alignment horizontal="center"/>
    </xf>
    <xf borderId="39" fillId="4" fontId="5" numFmtId="0" xfId="0" applyAlignment="1" applyBorder="1" applyFont="1">
      <alignment horizontal="center"/>
    </xf>
    <xf borderId="40" fillId="4" fontId="1" numFmtId="0" xfId="0" applyBorder="1" applyFont="1"/>
    <xf borderId="41" fillId="4" fontId="5" numFmtId="3" xfId="0" applyAlignment="1" applyBorder="1" applyFont="1" applyNumberFormat="1">
      <alignment horizontal="center"/>
    </xf>
    <xf borderId="0" fillId="0" fontId="25" numFmtId="0" xfId="0" applyFont="1"/>
    <xf borderId="11" fillId="0" fontId="26" numFmtId="0" xfId="0" applyBorder="1" applyFont="1"/>
    <xf borderId="50" fillId="10" fontId="5" numFmtId="0" xfId="0" applyAlignment="1" applyBorder="1" applyFill="1" applyFont="1">
      <alignment horizontal="center"/>
    </xf>
    <xf borderId="51" fillId="0" fontId="3" numFmtId="0" xfId="0" applyBorder="1" applyFont="1"/>
    <xf borderId="16" fillId="0" fontId="27" numFmtId="0" xfId="0" applyBorder="1" applyFont="1"/>
    <xf borderId="7" fillId="0" fontId="28" numFmtId="0" xfId="0" applyAlignment="1" applyBorder="1" applyFont="1">
      <alignment horizontal="center"/>
    </xf>
    <xf borderId="9" fillId="0" fontId="28" numFmtId="0" xfId="0" applyAlignment="1" applyBorder="1" applyFont="1">
      <alignment horizontal="center"/>
    </xf>
    <xf borderId="14" fillId="0" fontId="26" numFmtId="0" xfId="0" applyBorder="1" applyFont="1"/>
    <xf borderId="0" fillId="0" fontId="26" numFmtId="166" xfId="0" applyFont="1" applyNumberFormat="1"/>
    <xf borderId="14" fillId="0" fontId="28" numFmtId="0" xfId="0" applyAlignment="1" applyBorder="1" applyFont="1">
      <alignment horizontal="left"/>
    </xf>
    <xf borderId="2" fillId="0" fontId="26" numFmtId="166" xfId="0" applyBorder="1" applyFont="1" applyNumberFormat="1"/>
    <xf borderId="3" fillId="0" fontId="26" numFmtId="166" xfId="0" applyBorder="1" applyFont="1" applyNumberFormat="1"/>
    <xf borderId="9" fillId="0" fontId="26" numFmtId="166" xfId="0" applyBorder="1" applyFont="1" applyNumberFormat="1"/>
    <xf borderId="52" fillId="11" fontId="29" numFmtId="0" xfId="0" applyAlignment="1" applyBorder="1" applyFill="1" applyFont="1">
      <alignment horizontal="left"/>
    </xf>
    <xf borderId="38" fillId="11" fontId="29" numFmtId="166" xfId="0" applyBorder="1" applyFont="1" applyNumberFormat="1"/>
    <xf borderId="53" fillId="11" fontId="29" numFmtId="166" xfId="0" applyBorder="1" applyFont="1" applyNumberFormat="1"/>
    <xf borderId="4" fillId="11" fontId="2" numFmtId="0" xfId="0" applyAlignment="1" applyBorder="1" applyFont="1">
      <alignment horizontal="center"/>
    </xf>
    <xf borderId="4" fillId="10" fontId="5" numFmtId="0" xfId="0" applyAlignment="1" applyBorder="1" applyFont="1">
      <alignment horizontal="center"/>
    </xf>
    <xf borderId="7" fillId="0" fontId="26" numFmtId="0" xfId="0" applyBorder="1" applyFont="1"/>
    <xf borderId="0" fillId="0" fontId="26" numFmtId="2" xfId="0" applyFont="1" applyNumberFormat="1"/>
    <xf borderId="0" fillId="0" fontId="28" numFmtId="0" xfId="0" applyFont="1"/>
    <xf borderId="0" fillId="0" fontId="26" numFmtId="164" xfId="0" applyFont="1" applyNumberFormat="1"/>
    <xf borderId="8" fillId="3" fontId="26" numFmtId="170" xfId="0" applyBorder="1" applyFont="1" applyNumberFormat="1"/>
    <xf borderId="0" fillId="0" fontId="30" numFmtId="164" xfId="0" applyFont="1" applyNumberFormat="1"/>
    <xf borderId="0" fillId="0" fontId="31" numFmtId="164" xfId="0" applyFont="1" applyNumberFormat="1"/>
    <xf borderId="0" fillId="0" fontId="26" numFmtId="170" xfId="0" applyFont="1" applyNumberFormat="1"/>
    <xf borderId="0" fillId="0" fontId="25" numFmtId="4" xfId="0" applyFont="1" applyNumberFormat="1"/>
    <xf borderId="7" fillId="0" fontId="28" numFmtId="0" xfId="0" applyBorder="1" applyFont="1"/>
    <xf borderId="7" fillId="0" fontId="30" numFmtId="2" xfId="0" applyBorder="1" applyFont="1" applyNumberFormat="1"/>
    <xf borderId="7" fillId="0" fontId="30" numFmtId="0" xfId="0" applyBorder="1" applyFont="1"/>
    <xf borderId="7" fillId="0" fontId="26" numFmtId="170" xfId="0" applyBorder="1" applyFont="1" applyNumberFormat="1"/>
    <xf borderId="8" fillId="3" fontId="30" numFmtId="165" xfId="0" applyAlignment="1" applyBorder="1" applyFont="1" applyNumberFormat="1">
      <alignment horizontal="center"/>
    </xf>
    <xf borderId="8" fillId="3" fontId="26" numFmtId="165" xfId="0" applyBorder="1" applyFont="1" applyNumberFormat="1"/>
    <xf borderId="8" fillId="3" fontId="30" numFmtId="165" xfId="0" applyBorder="1" applyFont="1" applyNumberFormat="1"/>
    <xf borderId="0" fillId="0" fontId="30" numFmtId="165" xfId="0" applyFont="1" applyNumberFormat="1"/>
    <xf borderId="0" fillId="0" fontId="26" numFmtId="164" xfId="0" applyAlignment="1" applyFont="1" applyNumberFormat="1">
      <alignment horizontal="center"/>
    </xf>
    <xf borderId="0" fillId="0" fontId="26" numFmtId="171" xfId="0" applyFont="1" applyNumberFormat="1"/>
    <xf borderId="0" fillId="0" fontId="26" numFmtId="172" xfId="0" applyFont="1" applyNumberFormat="1"/>
    <xf borderId="8" fillId="3" fontId="30" numFmtId="166" xfId="0" applyBorder="1" applyFont="1" applyNumberFormat="1"/>
    <xf borderId="0" fillId="0" fontId="32" numFmtId="0" xfId="0" applyFont="1"/>
    <xf borderId="8" fillId="4" fontId="32" numFmtId="172" xfId="0" applyBorder="1" applyFont="1" applyNumberFormat="1"/>
    <xf borderId="8" fillId="4" fontId="32" numFmtId="10" xfId="0" applyBorder="1" applyFont="1" applyNumberFormat="1"/>
    <xf borderId="12" fillId="0" fontId="28" numFmtId="0" xfId="0" applyBorder="1" applyFont="1"/>
    <xf borderId="12" fillId="0" fontId="26" numFmtId="172" xfId="0" applyBorder="1" applyFont="1" applyNumberFormat="1"/>
    <xf borderId="12" fillId="0" fontId="26" numFmtId="0" xfId="0" applyBorder="1" applyFont="1"/>
    <xf borderId="0" fillId="0" fontId="30" numFmtId="172" xfId="0" applyFont="1" applyNumberFormat="1"/>
    <xf borderId="8" fillId="4" fontId="33" numFmtId="10" xfId="0" applyBorder="1" applyFont="1" applyNumberFormat="1"/>
    <xf borderId="0" fillId="0" fontId="26" numFmtId="165" xfId="0" applyFont="1" applyNumberFormat="1"/>
    <xf borderId="0" fillId="0" fontId="34" numFmtId="165" xfId="0" applyFont="1" applyNumberFormat="1"/>
    <xf borderId="0" fillId="0" fontId="35" numFmtId="166" xfId="0" applyFont="1" applyNumberFormat="1"/>
    <xf borderId="0" fillId="0" fontId="35" numFmtId="0" xfId="0" applyFont="1"/>
    <xf borderId="0" fillId="0" fontId="34" numFmtId="166" xfId="0" applyFont="1" applyNumberFormat="1"/>
    <xf borderId="0" fillId="0" fontId="35" numFmtId="2" xfId="0" applyFont="1" applyNumberFormat="1"/>
    <xf borderId="7" fillId="0" fontId="28" numFmtId="2" xfId="0" applyBorder="1" applyFont="1" applyNumberFormat="1"/>
    <xf borderId="0" fillId="0" fontId="26" numFmtId="10" xfId="0" applyFont="1" applyNumberFormat="1"/>
    <xf borderId="4" fillId="11" fontId="4" numFmtId="0" xfId="0" applyAlignment="1" applyBorder="1" applyFont="1">
      <alignment horizontal="center"/>
    </xf>
    <xf borderId="8" fillId="11" fontId="26" numFmtId="0" xfId="0" applyBorder="1" applyFont="1"/>
    <xf borderId="7" fillId="0" fontId="26" numFmtId="10" xfId="0" applyBorder="1" applyFont="1" applyNumberFormat="1"/>
    <xf borderId="0" fillId="0" fontId="4" numFmtId="170" xfId="0" applyAlignment="1" applyFont="1" applyNumberFormat="1">
      <alignment horizontal="center"/>
    </xf>
    <xf borderId="10" fillId="0" fontId="1" numFmtId="165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Bull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Sheet1!$E$5:$N$5</c:f>
            </c:strRef>
          </c:cat>
          <c:val>
            <c:numRef>
              <c:f>Sheet1!$E$6:$N$6</c:f>
              <c:numCache/>
            </c:numRef>
          </c:val>
          <c:smooth val="0"/>
        </c:ser>
        <c:ser>
          <c:idx val="1"/>
          <c:order val="1"/>
          <c:tx>
            <c:v>Bear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Sheet1!$E$5:$N$5</c:f>
            </c:strRef>
          </c:cat>
          <c:val>
            <c:numRef>
              <c:f>Sheet1!$E$7:$N$7</c:f>
              <c:numCache/>
            </c:numRef>
          </c:val>
          <c:smooth val="0"/>
        </c:ser>
        <c:ser>
          <c:idx val="2"/>
          <c:order val="2"/>
          <c:tx>
            <c:v>Base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Sheet1!$E$5:$N$5</c:f>
            </c:strRef>
          </c:cat>
          <c:val>
            <c:numRef>
              <c:f>Sheet1!$E$8:$N$8</c:f>
              <c:numCache/>
            </c:numRef>
          </c:val>
          <c:smooth val="0"/>
        </c:ser>
        <c:axId val="608779037"/>
        <c:axId val="1980809257"/>
      </c:lineChart>
      <c:catAx>
        <c:axId val="60877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0809257"/>
      </c:catAx>
      <c:valAx>
        <c:axId val="19808092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7790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'DCF Output'!$AE$3:$AE$5</cx:f>
      </cx:numDim>
    </cx:data>
  </cx:chartData>
  <cx:chart>
    <cx:plotArea>
      <cx:plotAreaRegion>
        <cx:series layoutId="waterfall" uniqueId="{BA0A40E6-E659-47DA-AEC0-A8A611678A64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714375</xdr:colOff>
      <xdr:row>7</xdr:row>
      <xdr:rowOff>57150</xdr:rowOff>
    </xdr:from>
    <xdr:ext cx="6238875" cy="2676525"/>
    <mc:AlternateContent>
      <mc:Choice Requires="cx1">
        <xdr:graphicFrame>
          <xdr:nvGraphicFramePr>
            <xdr:cNvPr id="28253210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2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12</xdr:row>
      <xdr:rowOff>152400</xdr:rowOff>
    </xdr:from>
    <xdr:ext cx="8401050" cy="4286250"/>
    <xdr:graphicFrame>
      <xdr:nvGraphicFramePr>
        <xdr:cNvPr id="136430279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44"/>
    <col customWidth="1" min="2" max="2" width="34.44"/>
    <col customWidth="1" min="3" max="3" width="17.11"/>
    <col customWidth="1" min="4" max="4" width="10.44"/>
    <col customWidth="1" min="5" max="5" width="39.44"/>
    <col customWidth="1" min="6" max="6" width="16.11"/>
    <col customWidth="1" min="7" max="7" width="10.44"/>
    <col customWidth="1" min="8" max="8" width="25.0"/>
    <col customWidth="1" min="9" max="9" width="17.11"/>
    <col customWidth="1" min="10" max="11" width="10.44"/>
    <col customWidth="1" min="12" max="12" width="14.67"/>
    <col customWidth="1" min="13" max="16" width="12.11"/>
    <col customWidth="1" min="17" max="17" width="11.67"/>
    <col customWidth="1" min="18" max="19" width="10.44"/>
    <col customWidth="1" min="20" max="20" width="10.67"/>
    <col customWidth="1" min="21" max="21" width="12.67"/>
    <col customWidth="1" min="22" max="22" width="11.67"/>
    <col customWidth="1" min="23" max="23" width="12.11"/>
    <col customWidth="1" min="24" max="25" width="12.0"/>
    <col customWidth="1" min="26" max="28" width="10.44"/>
    <col customWidth="1" min="29" max="29" width="23.0"/>
    <col customWidth="1" min="30" max="30" width="10.44"/>
    <col customWidth="1" min="31" max="31" width="14.0"/>
    <col customWidth="1" min="32" max="33" width="10.4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5"/>
      <c r="M2" s="6"/>
      <c r="N2" s="6"/>
      <c r="O2" s="6"/>
      <c r="P2" s="6"/>
      <c r="Q2" s="7"/>
      <c r="R2" s="1"/>
      <c r="S2" s="1"/>
      <c r="T2" s="5"/>
      <c r="U2" s="6"/>
      <c r="V2" s="6"/>
      <c r="W2" s="6"/>
      <c r="X2" s="6"/>
      <c r="Y2" s="7"/>
      <c r="Z2" s="1"/>
      <c r="AA2" s="1"/>
      <c r="AB2" s="1"/>
      <c r="AC2" s="8" t="s">
        <v>1</v>
      </c>
      <c r="AD2" s="3"/>
      <c r="AE2" s="4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9"/>
      <c r="N3" s="10"/>
      <c r="O3" s="10"/>
      <c r="P3" s="10"/>
      <c r="Q3" s="10"/>
      <c r="R3" s="1"/>
      <c r="S3" s="1"/>
      <c r="T3" s="1"/>
      <c r="U3" s="9"/>
      <c r="V3" s="9"/>
      <c r="W3" s="9"/>
      <c r="X3" s="9"/>
      <c r="Y3" s="9"/>
      <c r="Z3" s="1"/>
      <c r="AA3" s="1"/>
      <c r="AB3" s="1"/>
      <c r="AC3" s="1" t="s">
        <v>2</v>
      </c>
      <c r="AD3" s="11"/>
      <c r="AE3" s="11">
        <f>SHAREPRICE</f>
        <v>80.47</v>
      </c>
      <c r="AF3" s="1"/>
      <c r="AG3" s="1"/>
    </row>
    <row r="4" ht="15.75" customHeight="1">
      <c r="A4" s="1"/>
      <c r="B4" s="5" t="s">
        <v>3</v>
      </c>
      <c r="C4" s="7"/>
      <c r="D4" s="1"/>
      <c r="E4" s="5" t="s">
        <v>4</v>
      </c>
      <c r="F4" s="7"/>
      <c r="G4" s="1"/>
      <c r="H4" s="5" t="s">
        <v>5</v>
      </c>
      <c r="I4" s="7"/>
      <c r="J4" s="1"/>
      <c r="K4" s="1"/>
      <c r="L4" s="12"/>
      <c r="M4" s="13"/>
      <c r="N4" s="13"/>
      <c r="O4" s="13"/>
      <c r="P4" s="13"/>
      <c r="Q4" s="13"/>
      <c r="R4" s="1"/>
      <c r="S4" s="1"/>
      <c r="T4" s="14"/>
      <c r="U4" s="15"/>
      <c r="V4" s="15"/>
      <c r="W4" s="15"/>
      <c r="X4" s="15"/>
      <c r="Y4" s="15"/>
      <c r="Z4" s="1"/>
      <c r="AA4" s="1"/>
      <c r="AB4" s="1"/>
      <c r="AC4" s="1" t="s">
        <v>6</v>
      </c>
      <c r="AD4" s="11"/>
      <c r="AE4" s="16">
        <f>IFERROR(AE5-AE3,"-")</f>
        <v>32.05168643</v>
      </c>
      <c r="AF4" s="1"/>
      <c r="AG4" s="1"/>
    </row>
    <row r="5" ht="15.75" customHeight="1">
      <c r="A5" s="1"/>
      <c r="B5" s="17" t="s">
        <v>7</v>
      </c>
      <c r="C5" s="18">
        <f>SUM('DCF Analysis'!K56:U56)</f>
        <v>1076.013786</v>
      </c>
      <c r="D5" s="1"/>
      <c r="E5" s="17" t="s">
        <v>8</v>
      </c>
      <c r="F5" s="19">
        <f>C11</f>
        <v>5052.602651</v>
      </c>
      <c r="G5" s="1"/>
      <c r="H5" s="1" t="s">
        <v>9</v>
      </c>
      <c r="I5" s="20">
        <f>C20</f>
        <v>419.7920625</v>
      </c>
      <c r="J5" s="1"/>
      <c r="K5" s="21"/>
      <c r="L5" s="22"/>
      <c r="M5" s="23"/>
      <c r="N5" s="24"/>
      <c r="O5" s="24"/>
      <c r="P5" s="24"/>
      <c r="Q5" s="24"/>
      <c r="R5" s="1"/>
      <c r="S5" s="21"/>
      <c r="T5" s="22"/>
      <c r="U5" s="25"/>
      <c r="V5" s="25"/>
      <c r="W5" s="25"/>
      <c r="X5" s="25"/>
      <c r="Y5" s="25"/>
      <c r="Z5" s="1"/>
      <c r="AA5" s="1"/>
      <c r="AB5" s="1"/>
      <c r="AC5" s="1" t="s">
        <v>10</v>
      </c>
      <c r="AD5" s="11"/>
      <c r="AE5" s="16">
        <f>F28</f>
        <v>112.5216864</v>
      </c>
      <c r="AF5" s="1"/>
      <c r="AG5" s="1"/>
    </row>
    <row r="6" ht="15.75" customHeight="1">
      <c r="A6" s="1"/>
      <c r="B6" s="1" t="s">
        <v>11</v>
      </c>
      <c r="C6" s="20">
        <f>'DCF Analysis'!T27</f>
        <v>761.2762108</v>
      </c>
      <c r="D6" s="1"/>
      <c r="E6" s="1" t="s">
        <v>12</v>
      </c>
      <c r="F6" s="20">
        <f>WACC!D10</f>
        <v>395.698</v>
      </c>
      <c r="G6" s="1"/>
      <c r="H6" s="1" t="s">
        <v>13</v>
      </c>
      <c r="I6" s="26">
        <f>C9</f>
        <v>0.06318591157</v>
      </c>
      <c r="J6" s="1"/>
      <c r="K6" s="27"/>
      <c r="L6" s="22"/>
      <c r="M6" s="28"/>
      <c r="N6" s="23"/>
      <c r="O6" s="24"/>
      <c r="P6" s="29"/>
      <c r="Q6" s="28"/>
      <c r="R6" s="1"/>
      <c r="S6" s="27"/>
      <c r="T6" s="22"/>
      <c r="U6" s="25"/>
      <c r="V6" s="30"/>
      <c r="W6" s="31"/>
      <c r="X6" s="32"/>
      <c r="Y6" s="25"/>
      <c r="Z6" s="1"/>
      <c r="AA6" s="1"/>
      <c r="AB6" s="1"/>
      <c r="AC6" s="1"/>
      <c r="AD6" s="1"/>
      <c r="AE6" s="1"/>
      <c r="AF6" s="1"/>
      <c r="AG6" s="1"/>
    </row>
    <row r="7" ht="15.75" customHeight="1">
      <c r="A7" s="1"/>
      <c r="B7" s="1" t="s">
        <v>14</v>
      </c>
      <c r="C7" s="33">
        <f>'DCF Analysis'!C10</f>
        <v>10.2</v>
      </c>
      <c r="D7" s="1"/>
      <c r="E7" s="1" t="s">
        <v>15</v>
      </c>
      <c r="F7" s="20">
        <f>WACC!D9</f>
        <v>286.6</v>
      </c>
      <c r="G7" s="1"/>
      <c r="H7" s="1" t="s">
        <v>16</v>
      </c>
      <c r="I7" s="20">
        <f>C8</f>
        <v>7765.01735</v>
      </c>
      <c r="J7" s="1"/>
      <c r="K7" s="27"/>
      <c r="L7" s="22"/>
      <c r="M7" s="28"/>
      <c r="N7" s="34"/>
      <c r="O7" s="35"/>
      <c r="P7" s="36"/>
      <c r="Q7" s="28"/>
      <c r="R7" s="1"/>
      <c r="S7" s="27"/>
      <c r="T7" s="22"/>
      <c r="U7" s="25"/>
      <c r="V7" s="37"/>
      <c r="W7" s="38"/>
      <c r="X7" s="39"/>
      <c r="Y7" s="25"/>
      <c r="Z7" s="1"/>
      <c r="AA7" s="1"/>
      <c r="AB7" s="1"/>
      <c r="AC7" s="1"/>
      <c r="AD7" s="1"/>
      <c r="AE7" s="1"/>
      <c r="AF7" s="1"/>
      <c r="AG7" s="1"/>
    </row>
    <row r="8" ht="15.75" customHeight="1">
      <c r="A8" s="1"/>
      <c r="B8" s="1" t="s">
        <v>16</v>
      </c>
      <c r="C8" s="20">
        <f>IFERROR(C7*C6,"-")</f>
        <v>7765.01735</v>
      </c>
      <c r="D8" s="1"/>
      <c r="E8" s="1" t="s">
        <v>17</v>
      </c>
      <c r="F8" s="16">
        <v>0.0</v>
      </c>
      <c r="G8" s="1"/>
      <c r="H8" s="40" t="s">
        <v>5</v>
      </c>
      <c r="I8" s="41">
        <f>((I7/(1+I6)^0.5)*I6-I5)/(I5+(I7/(1+I6)^0.5))</f>
        <v>0.007049185442</v>
      </c>
      <c r="J8" s="1"/>
      <c r="K8" s="27"/>
      <c r="L8" s="22"/>
      <c r="M8" s="28"/>
      <c r="N8" s="42"/>
      <c r="O8" s="43"/>
      <c r="P8" s="44"/>
      <c r="Q8" s="28"/>
      <c r="R8" s="1"/>
      <c r="S8" s="27"/>
      <c r="T8" s="22"/>
      <c r="U8" s="25"/>
      <c r="V8" s="45"/>
      <c r="W8" s="46"/>
      <c r="X8" s="47"/>
      <c r="Y8" s="25"/>
      <c r="Z8" s="1"/>
      <c r="AA8" s="1"/>
      <c r="AB8" s="1"/>
      <c r="AC8" s="1"/>
      <c r="AD8" s="1"/>
      <c r="AE8" s="1"/>
      <c r="AF8" s="1"/>
      <c r="AG8" s="1"/>
    </row>
    <row r="9" ht="15.75" customHeight="1">
      <c r="A9" s="1"/>
      <c r="B9" s="48" t="s">
        <v>13</v>
      </c>
      <c r="C9" s="49">
        <f>WACC!D6</f>
        <v>0.06318591157</v>
      </c>
      <c r="D9" s="1"/>
      <c r="E9" s="40" t="s">
        <v>18</v>
      </c>
      <c r="F9" s="50">
        <f>IFERROR(F5-F6+F7-F8,"-")</f>
        <v>4943.504651</v>
      </c>
      <c r="G9" s="1"/>
      <c r="H9" s="1"/>
      <c r="I9" s="1"/>
      <c r="J9" s="1"/>
      <c r="K9" s="27"/>
      <c r="L9" s="22"/>
      <c r="M9" s="28"/>
      <c r="N9" s="28"/>
      <c r="O9" s="28"/>
      <c r="P9" s="28"/>
      <c r="Q9" s="28"/>
      <c r="R9" s="1"/>
      <c r="S9" s="27"/>
      <c r="T9" s="22"/>
      <c r="U9" s="25"/>
      <c r="V9" s="25"/>
      <c r="W9" s="25"/>
      <c r="X9" s="25"/>
      <c r="Y9" s="25"/>
      <c r="Z9" s="1"/>
      <c r="AA9" s="1"/>
      <c r="AB9" s="1"/>
      <c r="AC9" s="1"/>
      <c r="AD9" s="1"/>
      <c r="AE9" s="1"/>
      <c r="AF9" s="1"/>
      <c r="AG9" s="1"/>
    </row>
    <row r="10" ht="15.75" customHeight="1">
      <c r="A10" s="1"/>
      <c r="B10" s="51" t="s">
        <v>19</v>
      </c>
      <c r="C10" s="52">
        <f>C8/(1+C9)^'DCF Analysis'!U53</f>
        <v>3976.588865</v>
      </c>
      <c r="D10" s="1"/>
      <c r="E10" s="1" t="s">
        <v>20</v>
      </c>
      <c r="F10" s="53">
        <f>FDSO</f>
        <v>48.719076</v>
      </c>
      <c r="G10" s="1"/>
      <c r="H10" s="5" t="s">
        <v>21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5.75" customHeight="1">
      <c r="A11" s="1"/>
      <c r="B11" s="17" t="s">
        <v>8</v>
      </c>
      <c r="C11" s="19">
        <f>IFERROR(C10+C5,"-")</f>
        <v>5052.602651</v>
      </c>
      <c r="D11" s="1"/>
      <c r="E11" s="40" t="s">
        <v>22</v>
      </c>
      <c r="F11" s="54">
        <f>IFERROR(F9/F10,"-")</f>
        <v>101.4695897</v>
      </c>
      <c r="G11" s="1"/>
      <c r="H11" s="1" t="s">
        <v>8</v>
      </c>
      <c r="I11" s="20">
        <f>F5</f>
        <v>5052.602651</v>
      </c>
      <c r="J11" s="1"/>
      <c r="K11" s="1"/>
      <c r="L11" s="5"/>
      <c r="M11" s="6"/>
      <c r="N11" s="6"/>
      <c r="O11" s="6"/>
      <c r="P11" s="6"/>
      <c r="Q11" s="7"/>
      <c r="R11" s="1"/>
      <c r="S11" s="1"/>
      <c r="T11" s="5"/>
      <c r="U11" s="6"/>
      <c r="V11" s="6"/>
      <c r="W11" s="6"/>
      <c r="X11" s="6"/>
      <c r="Y11" s="7"/>
      <c r="Z11" s="1"/>
      <c r="AA11" s="1"/>
      <c r="AB11" s="1"/>
      <c r="AC11" s="1"/>
      <c r="AD11" s="1"/>
      <c r="AE11" s="1"/>
      <c r="AF11" s="1"/>
      <c r="AG11" s="1"/>
    </row>
    <row r="12" ht="15.75" customHeight="1">
      <c r="A12" s="1"/>
      <c r="B12" s="55" t="s">
        <v>23</v>
      </c>
      <c r="C12" s="26">
        <f>IFERROR(C10/C11,"-")</f>
        <v>0.7870377189</v>
      </c>
      <c r="D12" s="1"/>
      <c r="E12" s="55" t="s">
        <v>24</v>
      </c>
      <c r="F12" s="26">
        <f>IFERROR((F11/SHAREPRICE)-1,"-")</f>
        <v>0.2609617209</v>
      </c>
      <c r="G12" s="1"/>
      <c r="H12" s="1" t="s">
        <v>25</v>
      </c>
      <c r="I12" s="20">
        <f>Projections!H43</f>
        <v>111.614</v>
      </c>
      <c r="J12" s="1"/>
      <c r="K12" s="1"/>
      <c r="L12" s="1"/>
      <c r="M12" s="9"/>
      <c r="N12" s="10"/>
      <c r="O12" s="10"/>
      <c r="P12" s="10"/>
      <c r="Q12" s="10"/>
      <c r="R12" s="1"/>
      <c r="S12" s="1"/>
      <c r="T12" s="1"/>
      <c r="U12" s="9"/>
      <c r="V12" s="10"/>
      <c r="W12" s="10"/>
      <c r="X12" s="10"/>
      <c r="Y12" s="10"/>
      <c r="Z12" s="1"/>
      <c r="AA12" s="1"/>
      <c r="AB12" s="1"/>
      <c r="AC12" s="1"/>
      <c r="AD12" s="1"/>
      <c r="AE12" s="1"/>
      <c r="AF12" s="1"/>
      <c r="AG12" s="1"/>
    </row>
    <row r="13" ht="15.75" customHeight="1">
      <c r="A13" s="1"/>
      <c r="B13" s="1"/>
      <c r="C13" s="1"/>
      <c r="D13" s="1"/>
      <c r="E13" s="1"/>
      <c r="F13" s="1"/>
      <c r="G13" s="1"/>
      <c r="H13" s="40" t="s">
        <v>21</v>
      </c>
      <c r="I13" s="56">
        <f>IFERROR(I11/I12,"-")</f>
        <v>45.26853846</v>
      </c>
      <c r="J13" s="1"/>
      <c r="K13" s="1"/>
      <c r="L13" s="57"/>
      <c r="M13" s="13"/>
      <c r="N13" s="13"/>
      <c r="O13" s="13"/>
      <c r="P13" s="13"/>
      <c r="Q13" s="13"/>
      <c r="R13" s="1"/>
      <c r="S13" s="1"/>
      <c r="T13" s="14"/>
      <c r="U13" s="15"/>
      <c r="V13" s="15"/>
      <c r="W13" s="15"/>
      <c r="X13" s="15"/>
      <c r="Y13" s="15"/>
      <c r="Z13" s="1"/>
      <c r="AA13" s="1"/>
      <c r="AB13" s="1"/>
      <c r="AC13" s="1"/>
      <c r="AD13" s="1"/>
      <c r="AE13" s="1"/>
      <c r="AF13" s="1"/>
      <c r="AG13" s="1"/>
    </row>
    <row r="14" ht="15.75" customHeight="1">
      <c r="A14" s="1"/>
      <c r="B14" s="1"/>
      <c r="C14" s="20"/>
      <c r="D14" s="1"/>
      <c r="E14" s="1"/>
      <c r="F14" s="1"/>
      <c r="G14" s="1"/>
      <c r="H14" s="1"/>
      <c r="I14" s="1"/>
      <c r="J14" s="1"/>
      <c r="K14" s="21"/>
      <c r="L14" s="22"/>
      <c r="M14" s="58"/>
      <c r="N14" s="58"/>
      <c r="O14" s="58"/>
      <c r="P14" s="58"/>
      <c r="Q14" s="58"/>
      <c r="R14" s="1"/>
      <c r="S14" s="21"/>
      <c r="T14" s="22"/>
      <c r="U14" s="59"/>
      <c r="V14" s="59"/>
      <c r="W14" s="59"/>
      <c r="X14" s="59"/>
      <c r="Y14" s="59"/>
      <c r="Z14" s="1"/>
      <c r="AA14" s="1"/>
      <c r="AB14" s="1"/>
      <c r="AC14" s="1"/>
      <c r="AD14" s="1"/>
      <c r="AE14" s="1"/>
      <c r="AF14" s="1"/>
      <c r="AG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7"/>
      <c r="L15" s="22"/>
      <c r="M15" s="58"/>
      <c r="N15" s="60"/>
      <c r="O15" s="61"/>
      <c r="P15" s="62"/>
      <c r="Q15" s="58"/>
      <c r="R15" s="1"/>
      <c r="S15" s="27"/>
      <c r="T15" s="22"/>
      <c r="U15" s="59"/>
      <c r="V15" s="63"/>
      <c r="W15" s="64"/>
      <c r="X15" s="65"/>
      <c r="Y15" s="59"/>
      <c r="Z15" s="1"/>
      <c r="AA15" s="1"/>
      <c r="AB15" s="1"/>
      <c r="AC15" s="1"/>
      <c r="AD15" s="1"/>
      <c r="AE15" s="1"/>
      <c r="AF15" s="1"/>
      <c r="AG15" s="1"/>
    </row>
    <row r="16" ht="15.75" customHeight="1">
      <c r="A16" s="1"/>
      <c r="B16" s="2" t="s">
        <v>26</v>
      </c>
      <c r="C16" s="3"/>
      <c r="D16" s="3"/>
      <c r="E16" s="3"/>
      <c r="F16" s="3"/>
      <c r="G16" s="3"/>
      <c r="H16" s="3"/>
      <c r="I16" s="4"/>
      <c r="J16" s="1"/>
      <c r="K16" s="27"/>
      <c r="L16" s="22"/>
      <c r="M16" s="58"/>
      <c r="N16" s="66"/>
      <c r="O16" s="67"/>
      <c r="P16" s="68"/>
      <c r="Q16" s="58"/>
      <c r="R16" s="1"/>
      <c r="S16" s="27"/>
      <c r="T16" s="22"/>
      <c r="U16" s="59"/>
      <c r="V16" s="69"/>
      <c r="W16" s="70"/>
      <c r="X16" s="71"/>
      <c r="Y16" s="59"/>
      <c r="Z16" s="1"/>
      <c r="AA16" s="1"/>
      <c r="AB16" s="1"/>
      <c r="AC16" s="1"/>
      <c r="AD16" s="1"/>
      <c r="AE16" s="1"/>
      <c r="AF16" s="1"/>
      <c r="AG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7"/>
      <c r="L17" s="22"/>
      <c r="M17" s="58"/>
      <c r="N17" s="72"/>
      <c r="O17" s="73"/>
      <c r="P17" s="74"/>
      <c r="Q17" s="58"/>
      <c r="R17" s="1"/>
      <c r="S17" s="27"/>
      <c r="T17" s="22"/>
      <c r="U17" s="59"/>
      <c r="V17" s="75"/>
      <c r="W17" s="76"/>
      <c r="X17" s="77"/>
      <c r="Y17" s="59"/>
      <c r="Z17" s="1"/>
      <c r="AA17" s="1"/>
      <c r="AB17" s="1"/>
      <c r="AC17" s="1"/>
      <c r="AD17" s="1"/>
      <c r="AE17" s="1"/>
      <c r="AF17" s="1"/>
      <c r="AG17" s="1"/>
    </row>
    <row r="18" ht="15.75" customHeight="1">
      <c r="A18" s="1"/>
      <c r="B18" s="5" t="s">
        <v>3</v>
      </c>
      <c r="C18" s="7"/>
      <c r="D18" s="1"/>
      <c r="E18" s="5" t="s">
        <v>4</v>
      </c>
      <c r="F18" s="7"/>
      <c r="G18" s="1"/>
      <c r="H18" s="5" t="s">
        <v>27</v>
      </c>
      <c r="I18" s="7"/>
      <c r="J18" s="1"/>
      <c r="K18" s="27"/>
      <c r="L18" s="22"/>
      <c r="M18" s="58"/>
      <c r="N18" s="58"/>
      <c r="O18" s="58"/>
      <c r="P18" s="58"/>
      <c r="Q18" s="58"/>
      <c r="R18" s="1"/>
      <c r="S18" s="27"/>
      <c r="T18" s="22"/>
      <c r="U18" s="59"/>
      <c r="V18" s="59"/>
      <c r="W18" s="59"/>
      <c r="X18" s="59"/>
      <c r="Y18" s="59"/>
      <c r="Z18" s="1"/>
      <c r="AA18" s="1"/>
      <c r="AB18" s="1"/>
      <c r="AC18" s="1"/>
      <c r="AD18" s="1"/>
      <c r="AE18" s="1"/>
      <c r="AF18" s="1"/>
      <c r="AG18" s="1"/>
    </row>
    <row r="19" ht="15.75" customHeight="1">
      <c r="A19" s="1"/>
      <c r="B19" s="17" t="s">
        <v>7</v>
      </c>
      <c r="C19" s="18">
        <f>C5</f>
        <v>1076.013786</v>
      </c>
      <c r="D19" s="1"/>
      <c r="E19" s="17" t="s">
        <v>8</v>
      </c>
      <c r="F19" s="19">
        <f>C25</f>
        <v>6129.498535</v>
      </c>
      <c r="G19" s="1"/>
      <c r="H19" s="1" t="s">
        <v>11</v>
      </c>
      <c r="I19" s="20">
        <f>C6</f>
        <v>761.2762108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5.75" customHeight="1">
      <c r="A20" s="1"/>
      <c r="B20" s="1" t="s">
        <v>9</v>
      </c>
      <c r="C20" s="20">
        <f>'DCF Analysis'!T49</f>
        <v>419.7920625</v>
      </c>
      <c r="D20" s="1"/>
      <c r="E20" s="1" t="s">
        <v>12</v>
      </c>
      <c r="F20" s="20">
        <f t="shared" ref="F20:F22" si="1">F6</f>
        <v>395.698</v>
      </c>
      <c r="G20" s="1"/>
      <c r="H20" s="1" t="s">
        <v>13</v>
      </c>
      <c r="I20" s="26">
        <f>I6</f>
        <v>0.06318591157</v>
      </c>
      <c r="J20" s="1"/>
      <c r="K20" s="1"/>
      <c r="L20" s="5"/>
      <c r="M20" s="6"/>
      <c r="N20" s="6"/>
      <c r="O20" s="6"/>
      <c r="P20" s="6"/>
      <c r="Q20" s="7"/>
      <c r="R20" s="1"/>
      <c r="S20" s="1"/>
      <c r="T20" s="5"/>
      <c r="U20" s="6"/>
      <c r="V20" s="6"/>
      <c r="W20" s="6"/>
      <c r="X20" s="6"/>
      <c r="Y20" s="7"/>
      <c r="Z20" s="1"/>
      <c r="AA20" s="1"/>
      <c r="AB20" s="1"/>
      <c r="AC20" s="1"/>
      <c r="AD20" s="1"/>
      <c r="AE20" s="1"/>
      <c r="AF20" s="1"/>
      <c r="AG20" s="1"/>
    </row>
    <row r="21" ht="15.75" customHeight="1">
      <c r="A21" s="1"/>
      <c r="B21" s="1" t="s">
        <v>13</v>
      </c>
      <c r="C21" s="78">
        <f>C9</f>
        <v>0.06318591157</v>
      </c>
      <c r="D21" s="1"/>
      <c r="E21" s="1" t="s">
        <v>15</v>
      </c>
      <c r="F21" s="20">
        <f t="shared" si="1"/>
        <v>286.6</v>
      </c>
      <c r="G21" s="1"/>
      <c r="H21" s="1" t="s">
        <v>16</v>
      </c>
      <c r="I21" s="20">
        <f>C23</f>
        <v>9914.990517</v>
      </c>
      <c r="J21" s="1"/>
      <c r="K21" s="1"/>
      <c r="L21" s="1"/>
      <c r="M21" s="9"/>
      <c r="N21" s="10"/>
      <c r="O21" s="10"/>
      <c r="P21" s="10"/>
      <c r="Q21" s="10"/>
      <c r="R21" s="1"/>
      <c r="S21" s="1"/>
      <c r="T21" s="1"/>
      <c r="U21" s="9"/>
      <c r="V21" s="10"/>
      <c r="W21" s="10"/>
      <c r="X21" s="10"/>
      <c r="Y21" s="10"/>
      <c r="Z21" s="1"/>
      <c r="AA21" s="1"/>
      <c r="AB21" s="1"/>
      <c r="AC21" s="1"/>
      <c r="AD21" s="1"/>
      <c r="AE21" s="1"/>
      <c r="AF21" s="1"/>
      <c r="AG21" s="1"/>
    </row>
    <row r="22" ht="15.75" customHeight="1">
      <c r="A22" s="1"/>
      <c r="B22" s="1" t="s">
        <v>28</v>
      </c>
      <c r="C22" s="26">
        <f>'DCF Analysis'!C11</f>
        <v>0.02</v>
      </c>
      <c r="D22" s="1"/>
      <c r="E22" s="1" t="s">
        <v>17</v>
      </c>
      <c r="F22" s="16">
        <f t="shared" si="1"/>
        <v>0</v>
      </c>
      <c r="G22" s="1"/>
      <c r="H22" s="40" t="s">
        <v>27</v>
      </c>
      <c r="I22" s="56">
        <f>IFERROR(I21*(1+I20)^0.5/I19,"-")</f>
        <v>13.42933943</v>
      </c>
      <c r="J22" s="1"/>
      <c r="K22" s="1"/>
      <c r="L22" s="79"/>
      <c r="M22" s="13"/>
      <c r="N22" s="13"/>
      <c r="O22" s="13"/>
      <c r="P22" s="13"/>
      <c r="Q22" s="13"/>
      <c r="R22" s="1"/>
      <c r="S22" s="1"/>
      <c r="T22" s="14"/>
      <c r="U22" s="15"/>
      <c r="V22" s="15"/>
      <c r="W22" s="15"/>
      <c r="X22" s="15"/>
      <c r="Y22" s="15"/>
      <c r="Z22" s="1"/>
      <c r="AA22" s="1"/>
      <c r="AB22" s="1"/>
      <c r="AC22" s="1"/>
      <c r="AD22" s="1"/>
      <c r="AE22" s="1"/>
      <c r="AF22" s="1"/>
      <c r="AG22" s="1"/>
    </row>
    <row r="23" ht="15.75" customHeight="1">
      <c r="A23" s="1"/>
      <c r="B23" s="48" t="s">
        <v>16</v>
      </c>
      <c r="C23" s="20">
        <f>IFERROR(C20*((1+C22)/(C21-C22)),"-")</f>
        <v>9914.990517</v>
      </c>
      <c r="D23" s="1"/>
      <c r="E23" s="40" t="s">
        <v>18</v>
      </c>
      <c r="F23" s="50">
        <f>IFERROR(F19-F20+F21-F22,"-")</f>
        <v>6020.400535</v>
      </c>
      <c r="G23" s="1"/>
      <c r="H23" s="1"/>
      <c r="I23" s="1"/>
      <c r="J23" s="1"/>
      <c r="K23" s="21"/>
      <c r="L23" s="80"/>
      <c r="M23" s="58"/>
      <c r="N23" s="58"/>
      <c r="O23" s="58"/>
      <c r="P23" s="58"/>
      <c r="Q23" s="58"/>
      <c r="R23" s="1"/>
      <c r="S23" s="21"/>
      <c r="T23" s="22"/>
      <c r="U23" s="58"/>
      <c r="V23" s="58"/>
      <c r="W23" s="58"/>
      <c r="X23" s="58"/>
      <c r="Y23" s="58"/>
      <c r="Z23" s="1"/>
      <c r="AA23" s="1"/>
      <c r="AB23" s="1"/>
      <c r="AC23" s="1"/>
      <c r="AD23" s="1"/>
      <c r="AE23" s="1"/>
      <c r="AF23" s="1"/>
      <c r="AG23" s="1"/>
    </row>
    <row r="24" ht="15.75" customHeight="1">
      <c r="A24" s="1"/>
      <c r="B24" s="51" t="s">
        <v>19</v>
      </c>
      <c r="C24" s="52">
        <f>IFERROR(C23/(1+C21)^'DCF Analysis'!U52,"-")</f>
        <v>5053.484749</v>
      </c>
      <c r="D24" s="1"/>
      <c r="E24" s="1" t="s">
        <v>20</v>
      </c>
      <c r="F24" s="81">
        <f>F10</f>
        <v>48.719076</v>
      </c>
      <c r="G24" s="1"/>
      <c r="H24" s="5" t="s">
        <v>21</v>
      </c>
      <c r="I24" s="7"/>
      <c r="J24" s="1"/>
      <c r="K24" s="27"/>
      <c r="L24" s="80"/>
      <c r="M24" s="58"/>
      <c r="N24" s="60"/>
      <c r="O24" s="61"/>
      <c r="P24" s="62"/>
      <c r="Q24" s="58"/>
      <c r="R24" s="1"/>
      <c r="S24" s="27"/>
      <c r="T24" s="22"/>
      <c r="U24" s="58"/>
      <c r="V24" s="60"/>
      <c r="W24" s="61"/>
      <c r="X24" s="62"/>
      <c r="Y24" s="58"/>
      <c r="Z24" s="1"/>
      <c r="AA24" s="1"/>
      <c r="AB24" s="1"/>
      <c r="AC24" s="1"/>
      <c r="AD24" s="1"/>
      <c r="AE24" s="1"/>
      <c r="AF24" s="1"/>
      <c r="AG24" s="1"/>
    </row>
    <row r="25" ht="15.75" customHeight="1">
      <c r="A25" s="1"/>
      <c r="B25" s="17" t="s">
        <v>8</v>
      </c>
      <c r="C25" s="19">
        <f>IFERROR(C24+C19,"-")</f>
        <v>6129.498535</v>
      </c>
      <c r="D25" s="1"/>
      <c r="E25" s="40" t="s">
        <v>22</v>
      </c>
      <c r="F25" s="82">
        <f>IFERROR(F23/F24,"-")</f>
        <v>123.5737832</v>
      </c>
      <c r="G25" s="1"/>
      <c r="H25" s="1" t="s">
        <v>8</v>
      </c>
      <c r="I25" s="20">
        <f>C25</f>
        <v>6129.498535</v>
      </c>
      <c r="J25" s="1"/>
      <c r="K25" s="27"/>
      <c r="L25" s="80"/>
      <c r="M25" s="58"/>
      <c r="N25" s="66"/>
      <c r="O25" s="67"/>
      <c r="P25" s="68"/>
      <c r="Q25" s="58"/>
      <c r="R25" s="1"/>
      <c r="S25" s="27"/>
      <c r="T25" s="22"/>
      <c r="U25" s="58"/>
      <c r="V25" s="66"/>
      <c r="W25" s="67"/>
      <c r="X25" s="68"/>
      <c r="Y25" s="58"/>
      <c r="Z25" s="1"/>
      <c r="AA25" s="1"/>
      <c r="AB25" s="1"/>
      <c r="AC25" s="1"/>
      <c r="AD25" s="1"/>
      <c r="AE25" s="1"/>
      <c r="AF25" s="1"/>
      <c r="AG25" s="1"/>
    </row>
    <row r="26" ht="15.75" customHeight="1">
      <c r="A26" s="1"/>
      <c r="B26" s="55" t="s">
        <v>23</v>
      </c>
      <c r="C26" s="26">
        <f>IFERROR(C24/C25,"-")</f>
        <v>0.8244532109</v>
      </c>
      <c r="D26" s="1"/>
      <c r="E26" s="55" t="s">
        <v>24</v>
      </c>
      <c r="F26" s="26">
        <f>IFERROR((F25/SHAREPRICE)-1,"-")</f>
        <v>0.5356503441</v>
      </c>
      <c r="G26" s="1"/>
      <c r="H26" s="1" t="s">
        <v>29</v>
      </c>
      <c r="I26" s="20">
        <f>I12</f>
        <v>111.614</v>
      </c>
      <c r="J26" s="1"/>
      <c r="K26" s="27"/>
      <c r="L26" s="80"/>
      <c r="M26" s="58"/>
      <c r="N26" s="72"/>
      <c r="O26" s="73"/>
      <c r="P26" s="74"/>
      <c r="Q26" s="58"/>
      <c r="R26" s="1"/>
      <c r="S26" s="27"/>
      <c r="T26" s="22"/>
      <c r="U26" s="58"/>
      <c r="V26" s="72"/>
      <c r="W26" s="73"/>
      <c r="X26" s="74"/>
      <c r="Y26" s="58"/>
      <c r="Z26" s="1"/>
      <c r="AA26" s="1"/>
      <c r="AB26" s="1"/>
      <c r="AC26" s="1"/>
      <c r="AD26" s="1"/>
      <c r="AE26" s="1"/>
      <c r="AF26" s="1"/>
      <c r="AG26" s="1"/>
    </row>
    <row r="27" ht="15.75" customHeight="1">
      <c r="A27" s="1"/>
      <c r="B27" s="1"/>
      <c r="C27" s="1"/>
      <c r="D27" s="1"/>
      <c r="E27" s="1"/>
      <c r="F27" s="83"/>
      <c r="G27" s="1"/>
      <c r="H27" s="40" t="s">
        <v>21</v>
      </c>
      <c r="I27" s="56">
        <f>IFERROR(I25/I26,"-")</f>
        <v>54.91693278</v>
      </c>
      <c r="J27" s="1"/>
      <c r="K27" s="27"/>
      <c r="L27" s="80"/>
      <c r="M27" s="58"/>
      <c r="N27" s="58"/>
      <c r="O27" s="58"/>
      <c r="P27" s="58"/>
      <c r="Q27" s="58"/>
      <c r="R27" s="1"/>
      <c r="S27" s="27"/>
      <c r="T27" s="22"/>
      <c r="U27" s="58"/>
      <c r="V27" s="58"/>
      <c r="W27" s="58"/>
      <c r="X27" s="58"/>
      <c r="Y27" s="58"/>
      <c r="Z27" s="1"/>
      <c r="AA27" s="1"/>
      <c r="AB27" s="1"/>
      <c r="AC27" s="1"/>
      <c r="AD27" s="1"/>
      <c r="AE27" s="1"/>
      <c r="AF27" s="1"/>
      <c r="AG27" s="1"/>
    </row>
    <row r="28" ht="15.75" customHeight="1">
      <c r="A28" s="1"/>
      <c r="B28" s="1"/>
      <c r="C28" s="20"/>
      <c r="D28" s="1"/>
      <c r="E28" s="84" t="s">
        <v>10</v>
      </c>
      <c r="F28" s="85">
        <f t="shared" ref="F28:F29" si="2">IFERROR(AVERAGE(F25,F11),"-")</f>
        <v>112.5216864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5.75" customHeight="1">
      <c r="A29" s="1"/>
      <c r="B29" s="1"/>
      <c r="C29" s="11"/>
      <c r="D29" s="1"/>
      <c r="E29" s="86" t="s">
        <v>30</v>
      </c>
      <c r="F29" s="87">
        <f t="shared" si="2"/>
        <v>0.3983060325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5.75" customHeight="1">
      <c r="A32" s="1"/>
      <c r="B32" s="1"/>
      <c r="C32" s="1"/>
      <c r="D32" s="1"/>
      <c r="E32" s="1"/>
      <c r="F32" s="1"/>
      <c r="G32" s="1"/>
      <c r="H32" s="1">
        <v>1.0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88" t="s">
        <v>31</v>
      </c>
      <c r="M36" s="89"/>
      <c r="N36" s="89"/>
      <c r="O36" s="9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91"/>
      <c r="M37" s="92"/>
      <c r="N37" s="92" t="s">
        <v>31</v>
      </c>
      <c r="O37" s="9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94" t="s">
        <v>32</v>
      </c>
      <c r="M38" s="95"/>
      <c r="N38" s="96">
        <v>16.52</v>
      </c>
      <c r="O38" s="9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94" t="s">
        <v>33</v>
      </c>
      <c r="M39" s="98"/>
      <c r="N39" s="96">
        <v>14.3</v>
      </c>
      <c r="O39" s="9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94" t="s">
        <v>34</v>
      </c>
      <c r="M40" s="98"/>
      <c r="N40" s="96">
        <v>10.2</v>
      </c>
      <c r="O40" s="9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94" t="s">
        <v>35</v>
      </c>
      <c r="M41" s="98"/>
      <c r="N41" s="96">
        <v>9.3</v>
      </c>
      <c r="O41" s="9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94" t="s">
        <v>36</v>
      </c>
      <c r="M42" s="98"/>
      <c r="N42" s="96">
        <v>9.1</v>
      </c>
      <c r="O42" s="9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91"/>
      <c r="M43" s="99"/>
      <c r="N43" s="1"/>
      <c r="O43" s="100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01"/>
      <c r="F44" s="6"/>
      <c r="G44" s="6"/>
      <c r="H44" s="6"/>
      <c r="I44" s="6"/>
      <c r="J44" s="7"/>
      <c r="K44" s="1"/>
      <c r="L44" s="102" t="s">
        <v>37</v>
      </c>
      <c r="M44" s="103" t="str">
        <f t="shared" ref="M44:N44" si="3">IFERROR(MEDIAN(M38:M43),"-")</f>
        <v>-</v>
      </c>
      <c r="N44" s="103">
        <f t="shared" si="3"/>
        <v>10.2</v>
      </c>
      <c r="O44" s="104" t="str">
        <f>IFERROR(MEDIAN(O38:O42),"-")</f>
        <v>-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05"/>
      <c r="F45" s="106"/>
      <c r="G45" s="6"/>
      <c r="H45" s="6"/>
      <c r="I45" s="6"/>
      <c r="J45" s="7"/>
      <c r="K45" s="1"/>
      <c r="L45" s="107"/>
      <c r="M45" s="108"/>
      <c r="N45" s="108"/>
      <c r="O45" s="109" t="str">
        <f>IFERROR(O44*(1+((1-[0]!TAXRATE)*(N38))),"-")</f>
        <v>#ERROR!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2"/>
      <c r="F46" s="110"/>
      <c r="G46" s="110"/>
      <c r="H46" s="110"/>
      <c r="I46" s="110"/>
      <c r="J46" s="1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11"/>
      <c r="F47" s="112"/>
      <c r="G47" s="112"/>
      <c r="H47" s="112"/>
      <c r="I47" s="112"/>
      <c r="J47" s="11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11"/>
      <c r="F48" s="112"/>
      <c r="G48" s="112"/>
      <c r="H48" s="112"/>
      <c r="I48" s="112"/>
      <c r="J48" s="11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11"/>
      <c r="F49" s="112"/>
      <c r="G49" s="112"/>
      <c r="H49" s="112"/>
      <c r="I49" s="112"/>
      <c r="J49" s="11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11"/>
      <c r="F50" s="112"/>
      <c r="G50" s="112"/>
      <c r="H50" s="112"/>
      <c r="I50" s="112"/>
      <c r="J50" s="11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11"/>
      <c r="F51" s="112"/>
      <c r="G51" s="112"/>
      <c r="H51" s="112"/>
      <c r="I51" s="112"/>
      <c r="J51" s="11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30">
    <mergeCell ref="B2:I2"/>
    <mergeCell ref="L2:Q2"/>
    <mergeCell ref="T2:Y2"/>
    <mergeCell ref="AC2:AE2"/>
    <mergeCell ref="M3:Q3"/>
    <mergeCell ref="B4:C4"/>
    <mergeCell ref="E4:F4"/>
    <mergeCell ref="K5:K9"/>
    <mergeCell ref="K14:K18"/>
    <mergeCell ref="K23:K27"/>
    <mergeCell ref="H10:I10"/>
    <mergeCell ref="B16:I16"/>
    <mergeCell ref="B18:C18"/>
    <mergeCell ref="E18:F18"/>
    <mergeCell ref="H18:I18"/>
    <mergeCell ref="E44:J44"/>
    <mergeCell ref="F45:J45"/>
    <mergeCell ref="L20:Q20"/>
    <mergeCell ref="T20:Y20"/>
    <mergeCell ref="M21:Q21"/>
    <mergeCell ref="U21:Y21"/>
    <mergeCell ref="S23:S27"/>
    <mergeCell ref="H24:I24"/>
    <mergeCell ref="H4:I4"/>
    <mergeCell ref="S5:S9"/>
    <mergeCell ref="L11:Q11"/>
    <mergeCell ref="T11:Y11"/>
    <mergeCell ref="M12:Q12"/>
    <mergeCell ref="U12:Y12"/>
    <mergeCell ref="S14:S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44"/>
    <col customWidth="1" min="2" max="2" width="29.0"/>
    <col customWidth="1" min="3" max="3" width="15.0"/>
    <col customWidth="1" min="4" max="5" width="13.44"/>
    <col customWidth="1" min="6" max="7" width="15.0"/>
    <col customWidth="1" min="8" max="8" width="10.67"/>
    <col customWidth="1" min="9" max="9" width="12.44"/>
    <col customWidth="1" min="10" max="10" width="8.0"/>
    <col customWidth="1" min="11" max="21" width="15.0"/>
    <col customWidth="1" min="22" max="27" width="10.4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113" t="s">
        <v>38</v>
      </c>
      <c r="C2" s="1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/>
      <c r="B3" s="115" t="s">
        <v>39</v>
      </c>
      <c r="C3" s="116" t="s">
        <v>40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91" t="s">
        <v>41</v>
      </c>
      <c r="C4" s="117" t="s">
        <v>42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91" t="s">
        <v>43</v>
      </c>
      <c r="C5" s="118" t="s">
        <v>44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/>
      <c r="B6" s="91" t="s">
        <v>45</v>
      </c>
      <c r="C6" s="117" t="s">
        <v>46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91" t="s">
        <v>47</v>
      </c>
      <c r="C7" s="119">
        <v>80.47</v>
      </c>
      <c r="D7" s="1"/>
      <c r="E7" s="1"/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91" t="s">
        <v>48</v>
      </c>
      <c r="C8" s="120">
        <v>0.21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91" t="s">
        <v>49</v>
      </c>
      <c r="C9" s="117">
        <v>2035.0</v>
      </c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91" t="s">
        <v>50</v>
      </c>
      <c r="C10" s="121">
        <v>10.2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91" t="s">
        <v>51</v>
      </c>
      <c r="C11" s="122">
        <v>0.02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91" t="s">
        <v>52</v>
      </c>
      <c r="C12" s="123">
        <f>TODAY()</f>
        <v>45810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91" t="s">
        <v>53</v>
      </c>
      <c r="C13" s="124">
        <v>45657.0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91" t="s">
        <v>54</v>
      </c>
      <c r="C14" s="125">
        <v>45291.0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91" t="s">
        <v>55</v>
      </c>
      <c r="C15" s="126">
        <f>YEARFRAC(C12,C13)</f>
        <v>0.4222222222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27" t="s">
        <v>56</v>
      </c>
      <c r="C16" s="128">
        <f>WACC!D6</f>
        <v>0.06318591157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29" t="str">
        <f>"Discounted Cash Flow Analysis: " &amp;C5</f>
        <v>Discounted Cash Flow Analysis: Freshpet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"/>
      <c r="W18" s="1"/>
      <c r="X18" s="1"/>
      <c r="Y18" s="1"/>
      <c r="Z18" s="1"/>
      <c r="AA18" s="1"/>
    </row>
    <row r="19" ht="15.75" customHeight="1">
      <c r="A19" s="1"/>
      <c r="B19" s="131" t="str">
        <f>"(For the Fiscal Year Ending December 31)"</f>
        <v>(For the Fiscal Year Ending December 31)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32" t="s">
        <v>57</v>
      </c>
      <c r="D21" s="6"/>
      <c r="E21" s="6"/>
      <c r="F21" s="6"/>
      <c r="G21" s="7"/>
      <c r="H21" s="1"/>
      <c r="I21" s="1"/>
      <c r="J21" s="1"/>
      <c r="K21" s="133"/>
      <c r="L21" s="133"/>
      <c r="M21" s="133"/>
      <c r="N21" s="133"/>
      <c r="O21" s="134"/>
      <c r="P21" s="133"/>
      <c r="Q21" s="133"/>
      <c r="R21" s="133"/>
      <c r="S21" s="133"/>
      <c r="T21" s="133"/>
      <c r="U21" s="133"/>
      <c r="V21" s="1"/>
      <c r="W21" s="1"/>
      <c r="X21" s="1"/>
      <c r="Y21" s="1"/>
      <c r="Z21" s="1"/>
      <c r="AA21" s="1"/>
    </row>
    <row r="22" ht="15.75" customHeight="1">
      <c r="A22" s="1"/>
      <c r="B22" s="135" t="str">
        <f>"In "&amp;C4</f>
        <v>In Millions ($)</v>
      </c>
      <c r="C22" s="9">
        <v>2020.0</v>
      </c>
      <c r="D22" s="9">
        <v>2021.0</v>
      </c>
      <c r="E22" s="9">
        <v>2022.0</v>
      </c>
      <c r="F22" s="9">
        <v>2023.0</v>
      </c>
      <c r="G22" s="9">
        <v>2024.0</v>
      </c>
      <c r="H22" s="136"/>
      <c r="I22" s="1"/>
      <c r="J22" s="1"/>
      <c r="K22" s="137">
        <v>2025.0</v>
      </c>
      <c r="L22" s="137">
        <f t="shared" ref="L22:U22" si="1">K22+1</f>
        <v>2026</v>
      </c>
      <c r="M22" s="137">
        <f t="shared" si="1"/>
        <v>2027</v>
      </c>
      <c r="N22" s="137">
        <f t="shared" si="1"/>
        <v>2028</v>
      </c>
      <c r="O22" s="137">
        <f t="shared" si="1"/>
        <v>2029</v>
      </c>
      <c r="P22" s="137">
        <f t="shared" si="1"/>
        <v>2030</v>
      </c>
      <c r="Q22" s="137">
        <f t="shared" si="1"/>
        <v>2031</v>
      </c>
      <c r="R22" s="137">
        <f t="shared" si="1"/>
        <v>2032</v>
      </c>
      <c r="S22" s="137">
        <f t="shared" si="1"/>
        <v>2033</v>
      </c>
      <c r="T22" s="137">
        <f t="shared" si="1"/>
        <v>2034</v>
      </c>
      <c r="U22" s="137">
        <f t="shared" si="1"/>
        <v>2035</v>
      </c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36" t="s">
        <v>58</v>
      </c>
      <c r="J23" s="1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6"/>
      <c r="W23" s="136" t="s">
        <v>58</v>
      </c>
      <c r="X23" s="1"/>
      <c r="Y23" s="1"/>
      <c r="Z23" s="1"/>
      <c r="AA23" s="1"/>
    </row>
    <row r="24" ht="15.75" customHeight="1">
      <c r="A24" s="1"/>
      <c r="B24" s="17" t="s">
        <v>59</v>
      </c>
      <c r="C24" s="139">
        <f>Projections!D9</f>
        <v>318.79</v>
      </c>
      <c r="D24" s="139">
        <f>Projections!E9</f>
        <v>425.489</v>
      </c>
      <c r="E24" s="139">
        <f>Projections!F9</f>
        <v>595.344</v>
      </c>
      <c r="F24" s="139">
        <f>Projections!G9</f>
        <v>766.895</v>
      </c>
      <c r="G24" s="139">
        <f>Projections!H9</f>
        <v>975.177</v>
      </c>
      <c r="H24" s="1"/>
      <c r="I24" s="140" t="s">
        <v>60</v>
      </c>
      <c r="J24" s="1"/>
      <c r="K24" s="141">
        <f>Projections!J9</f>
        <v>1162.917</v>
      </c>
      <c r="L24" s="141">
        <f>Projections!K9</f>
        <v>1455.09723</v>
      </c>
      <c r="M24" s="141">
        <f>Projections!L9</f>
        <v>1815.275885</v>
      </c>
      <c r="N24" s="141">
        <f>Projections!M9</f>
        <v>2179.434774</v>
      </c>
      <c r="O24" s="141">
        <f>Projections!N9</f>
        <v>2556.874625</v>
      </c>
      <c r="P24" s="141">
        <f>Projections!O9</f>
        <v>2949.888024</v>
      </c>
      <c r="Q24" s="141">
        <f>Projections!P9</f>
        <v>3324.905158</v>
      </c>
      <c r="R24" s="141">
        <f>Projections!Q9</f>
        <v>3556.646342</v>
      </c>
      <c r="S24" s="141">
        <f>Projections!R9</f>
        <v>3761.082332</v>
      </c>
      <c r="T24" s="141">
        <f>Projections!S9</f>
        <v>3921.102947</v>
      </c>
      <c r="U24" s="141">
        <f>Projections!T9</f>
        <v>3960.313976</v>
      </c>
      <c r="V24" s="140"/>
      <c r="W24" s="140" t="s">
        <v>61</v>
      </c>
      <c r="X24" s="1"/>
      <c r="Y24" s="1"/>
      <c r="Z24" s="1"/>
      <c r="AA24" s="1"/>
    </row>
    <row r="25" ht="15.75" customHeight="1">
      <c r="A25" s="1"/>
      <c r="B25" s="55" t="s">
        <v>62</v>
      </c>
      <c r="C25" s="142" t="str">
        <f t="shared" ref="C25:G25" si="2">IFERROR((C24/B24)-1,"-")</f>
        <v>-</v>
      </c>
      <c r="D25" s="143">
        <f t="shared" si="2"/>
        <v>0.3346999592</v>
      </c>
      <c r="E25" s="143">
        <f t="shared" si="2"/>
        <v>0.3991995093</v>
      </c>
      <c r="F25" s="143">
        <f t="shared" si="2"/>
        <v>0.2881544116</v>
      </c>
      <c r="G25" s="143">
        <f t="shared" si="2"/>
        <v>0.2715912869</v>
      </c>
      <c r="H25" s="78"/>
      <c r="I25" s="144">
        <f>IFERROR((G24/C24)^(1/(G22-C22))-1,"-")</f>
        <v>0.3224969831</v>
      </c>
      <c r="J25" s="78"/>
      <c r="K25" s="143">
        <f>(K24)/G24-1</f>
        <v>0.1925188966</v>
      </c>
      <c r="L25" s="143">
        <f t="shared" ref="L25:U25" si="3">(L24)/K24-1</f>
        <v>0.2512477073</v>
      </c>
      <c r="M25" s="143">
        <f t="shared" si="3"/>
        <v>0.2475289266</v>
      </c>
      <c r="N25" s="143">
        <f t="shared" si="3"/>
        <v>0.200608013</v>
      </c>
      <c r="O25" s="143">
        <f t="shared" si="3"/>
        <v>0.1731824491</v>
      </c>
      <c r="P25" s="143">
        <f t="shared" si="3"/>
        <v>0.1537085138</v>
      </c>
      <c r="Q25" s="143">
        <f t="shared" si="3"/>
        <v>0.1271292776</v>
      </c>
      <c r="R25" s="143">
        <f t="shared" si="3"/>
        <v>0.06969858495</v>
      </c>
      <c r="S25" s="143">
        <f t="shared" si="3"/>
        <v>0.057479988</v>
      </c>
      <c r="T25" s="143">
        <f t="shared" si="3"/>
        <v>0.04254642708</v>
      </c>
      <c r="U25" s="143">
        <f t="shared" si="3"/>
        <v>0.01</v>
      </c>
      <c r="V25" s="145"/>
      <c r="W25" s="144">
        <f>IFERROR((U24/(K24+H24))^(1/(U22-K22))-1,"-")</f>
        <v>0.1303634074</v>
      </c>
      <c r="X25" s="1"/>
      <c r="Y25" s="1"/>
      <c r="Z25" s="1"/>
      <c r="AA25" s="1"/>
    </row>
    <row r="26" ht="15.75" customHeight="1">
      <c r="A26" s="1"/>
      <c r="B26" s="1"/>
      <c r="C26" s="138"/>
      <c r="D26" s="138"/>
      <c r="E26" s="138"/>
      <c r="F26" s="138"/>
      <c r="G26" s="138"/>
      <c r="H26" s="1"/>
      <c r="I26" s="136" t="s">
        <v>58</v>
      </c>
      <c r="J26" s="1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6"/>
      <c r="W26" s="136" t="s">
        <v>58</v>
      </c>
      <c r="X26" s="1"/>
      <c r="Y26" s="1"/>
      <c r="Z26" s="1"/>
      <c r="AA26" s="1"/>
    </row>
    <row r="27" ht="15.75" customHeight="1">
      <c r="A27" s="1"/>
      <c r="B27" s="17" t="s">
        <v>63</v>
      </c>
      <c r="C27" s="141">
        <f>Projections!D43</f>
        <v>19.102</v>
      </c>
      <c r="D27" s="141">
        <f>Projections!E43</f>
        <v>5.837</v>
      </c>
      <c r="E27" s="141">
        <f>Projections!F43</f>
        <v>-17.428</v>
      </c>
      <c r="F27" s="141">
        <f>Projections!G43</f>
        <v>28.071</v>
      </c>
      <c r="G27" s="141">
        <f>Projections!H43</f>
        <v>111.614</v>
      </c>
      <c r="H27" s="1"/>
      <c r="I27" s="140" t="s">
        <v>60</v>
      </c>
      <c r="J27" s="1"/>
      <c r="K27" s="146">
        <f>Projections!J43</f>
        <v>137.9783444</v>
      </c>
      <c r="L27" s="146">
        <f>Projections!K43</f>
        <v>183.5583163</v>
      </c>
      <c r="M27" s="146">
        <f>Projections!L43</f>
        <v>257.1310856</v>
      </c>
      <c r="N27" s="146">
        <f>Projections!M43</f>
        <v>325.0594025</v>
      </c>
      <c r="O27" s="146">
        <f>Projections!N43</f>
        <v>400.5305456</v>
      </c>
      <c r="P27" s="146">
        <f>Projections!O43</f>
        <v>484.2196607</v>
      </c>
      <c r="Q27" s="146">
        <f>Projections!P43</f>
        <v>570.7149451</v>
      </c>
      <c r="R27" s="146">
        <f>Projections!Q43</f>
        <v>637.1678168</v>
      </c>
      <c r="S27" s="146">
        <f>Projections!R43</f>
        <v>702.0003327</v>
      </c>
      <c r="T27" s="146">
        <f>Projections!S43</f>
        <v>761.2762108</v>
      </c>
      <c r="U27" s="146">
        <f>Projections!T43</f>
        <v>798.5913277</v>
      </c>
      <c r="V27" s="140"/>
      <c r="W27" s="140" t="s">
        <v>61</v>
      </c>
      <c r="X27" s="1"/>
      <c r="Y27" s="1"/>
      <c r="Z27" s="1"/>
      <c r="AA27" s="1"/>
    </row>
    <row r="28" ht="15.75" customHeight="1">
      <c r="A28" s="1"/>
      <c r="B28" s="55" t="s">
        <v>62</v>
      </c>
      <c r="C28" s="142" t="str">
        <f t="shared" ref="C28:G28" si="4">IFERROR((C27/B27)-1,"-")</f>
        <v>-</v>
      </c>
      <c r="D28" s="143">
        <f t="shared" si="4"/>
        <v>-0.6944299026</v>
      </c>
      <c r="E28" s="143">
        <f t="shared" si="4"/>
        <v>-3.985780367</v>
      </c>
      <c r="F28" s="143">
        <f t="shared" si="4"/>
        <v>-2.610683957</v>
      </c>
      <c r="G28" s="143">
        <f t="shared" si="4"/>
        <v>2.976131951</v>
      </c>
      <c r="H28" s="78"/>
      <c r="I28" s="144" t="str">
        <f>IFERROR((G27/E27)^(1/(G22-E22))-1,"-")</f>
        <v>-</v>
      </c>
      <c r="J28" s="78"/>
      <c r="K28" s="143">
        <f>(K27)/G27-1</f>
        <v>0.2362100134</v>
      </c>
      <c r="L28" s="143">
        <f t="shared" ref="L28:U28" si="5">(L27)/K27-1</f>
        <v>0.3303414902</v>
      </c>
      <c r="M28" s="143">
        <f t="shared" si="5"/>
        <v>0.4008141429</v>
      </c>
      <c r="N28" s="143">
        <f t="shared" si="5"/>
        <v>0.2641777707</v>
      </c>
      <c r="O28" s="143">
        <f t="shared" si="5"/>
        <v>0.2321764654</v>
      </c>
      <c r="P28" s="143">
        <f t="shared" si="5"/>
        <v>0.2089456497</v>
      </c>
      <c r="Q28" s="143">
        <f t="shared" si="5"/>
        <v>0.1786281958</v>
      </c>
      <c r="R28" s="143">
        <f t="shared" si="5"/>
        <v>0.1164379384</v>
      </c>
      <c r="S28" s="143">
        <f t="shared" si="5"/>
        <v>0.1017510838</v>
      </c>
      <c r="T28" s="143">
        <f t="shared" si="5"/>
        <v>0.08443853273</v>
      </c>
      <c r="U28" s="143">
        <f t="shared" si="5"/>
        <v>0.0490165283</v>
      </c>
      <c r="V28" s="145"/>
      <c r="W28" s="144">
        <f>IFERROR((U27/(K27+H27))^(1/(U22-K22))-1,"-")</f>
        <v>0.1919316885</v>
      </c>
      <c r="X28" s="1"/>
      <c r="Y28" s="1"/>
      <c r="Z28" s="1"/>
      <c r="AA28" s="1"/>
    </row>
    <row r="29" ht="15.75" customHeight="1">
      <c r="A29" s="1"/>
      <c r="B29" s="55" t="s">
        <v>64</v>
      </c>
      <c r="C29" s="147">
        <f t="shared" ref="C29:G29" si="6">IFERROR(C27/C24,"-")</f>
        <v>0.05992032372</v>
      </c>
      <c r="D29" s="147">
        <f t="shared" si="6"/>
        <v>0.01371833349</v>
      </c>
      <c r="E29" s="147">
        <f t="shared" si="6"/>
        <v>-0.0292738316</v>
      </c>
      <c r="F29" s="147">
        <f t="shared" si="6"/>
        <v>0.03660344636</v>
      </c>
      <c r="G29" s="147">
        <f t="shared" si="6"/>
        <v>0.1144551194</v>
      </c>
      <c r="H29" s="78"/>
      <c r="I29" s="78"/>
      <c r="J29" s="78"/>
      <c r="K29" s="147">
        <f t="shared" ref="K29:U29" si="7">IFERROR(K27/K24,"-")</f>
        <v>0.1186484886</v>
      </c>
      <c r="L29" s="147">
        <f t="shared" si="7"/>
        <v>0.1261484886</v>
      </c>
      <c r="M29" s="147">
        <f t="shared" si="7"/>
        <v>0.1416484886</v>
      </c>
      <c r="N29" s="147">
        <f t="shared" si="7"/>
        <v>0.1491484886</v>
      </c>
      <c r="O29" s="147">
        <f t="shared" si="7"/>
        <v>0.1566484886</v>
      </c>
      <c r="P29" s="147">
        <f t="shared" si="7"/>
        <v>0.1641484886</v>
      </c>
      <c r="Q29" s="147">
        <f t="shared" si="7"/>
        <v>0.1716484886</v>
      </c>
      <c r="R29" s="147">
        <f t="shared" si="7"/>
        <v>0.1791484886</v>
      </c>
      <c r="S29" s="147">
        <f t="shared" si="7"/>
        <v>0.1866484886</v>
      </c>
      <c r="T29" s="147">
        <f t="shared" si="7"/>
        <v>0.1941484886</v>
      </c>
      <c r="U29" s="147">
        <f t="shared" si="7"/>
        <v>0.2016484886</v>
      </c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38"/>
      <c r="D30" s="138"/>
      <c r="E30" s="138"/>
      <c r="F30" s="138"/>
      <c r="G30" s="138"/>
      <c r="H30" s="1"/>
      <c r="I30" s="1"/>
      <c r="J30" s="1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"/>
      <c r="W30" s="1"/>
      <c r="X30" s="1"/>
      <c r="Y30" s="1"/>
      <c r="Z30" s="1"/>
      <c r="AA30" s="1"/>
    </row>
    <row r="31" ht="15.75" customHeight="1">
      <c r="A31" s="1"/>
      <c r="B31" s="1" t="s">
        <v>65</v>
      </c>
      <c r="C31" s="141">
        <f>Projections!D40</f>
        <v>21.1</v>
      </c>
      <c r="D31" s="141">
        <f>Projections!E40</f>
        <v>30.5</v>
      </c>
      <c r="E31" s="141">
        <f>Projections!F40</f>
        <v>34.555</v>
      </c>
      <c r="F31" s="141">
        <f>Projections!G40</f>
        <v>58.517</v>
      </c>
      <c r="G31" s="141">
        <f>Projections!H40</f>
        <v>73.615</v>
      </c>
      <c r="H31" s="148"/>
      <c r="I31" s="148"/>
      <c r="J31" s="148"/>
      <c r="K31" s="146">
        <f>Projections!J40</f>
        <v>83.36048288</v>
      </c>
      <c r="L31" s="146">
        <f>Projections!K40</f>
        <v>104.3046131</v>
      </c>
      <c r="M31" s="146">
        <f>Projections!L40</f>
        <v>130.123022</v>
      </c>
      <c r="N31" s="146">
        <f>Projections!M40</f>
        <v>156.2267429</v>
      </c>
      <c r="O31" s="146">
        <f>Projections!N40</f>
        <v>183.2824728</v>
      </c>
      <c r="P31" s="146">
        <f>Projections!O40</f>
        <v>211.4545493</v>
      </c>
      <c r="Q31" s="146">
        <f>Projections!P40</f>
        <v>238.3366134</v>
      </c>
      <c r="R31" s="146">
        <f>Projections!Q40</f>
        <v>254.9483381</v>
      </c>
      <c r="S31" s="146">
        <f>Projections!R40</f>
        <v>269.6027655</v>
      </c>
      <c r="T31" s="146">
        <f>Projections!S40</f>
        <v>281.0734</v>
      </c>
      <c r="U31" s="146">
        <f>Projections!T40</f>
        <v>283.884134</v>
      </c>
      <c r="V31" s="1"/>
      <c r="W31" s="1"/>
      <c r="X31" s="1"/>
      <c r="Y31" s="1"/>
      <c r="Z31" s="1"/>
      <c r="AA31" s="1"/>
    </row>
    <row r="32" ht="15.75" customHeight="1">
      <c r="A32" s="1"/>
      <c r="B32" s="55" t="s">
        <v>64</v>
      </c>
      <c r="C32" s="147">
        <f t="shared" ref="C32:G32" si="8">IFERROR(C31/C24,"-")</f>
        <v>0.06618777251</v>
      </c>
      <c r="D32" s="147">
        <f t="shared" si="8"/>
        <v>0.07168222915</v>
      </c>
      <c r="E32" s="147">
        <f t="shared" si="8"/>
        <v>0.05804207315</v>
      </c>
      <c r="F32" s="147">
        <f t="shared" si="8"/>
        <v>0.07630379648</v>
      </c>
      <c r="G32" s="147">
        <f t="shared" si="8"/>
        <v>0.07548885997</v>
      </c>
      <c r="H32" s="78"/>
      <c r="I32" s="78"/>
      <c r="J32" s="78"/>
      <c r="K32" s="147">
        <f t="shared" ref="K32:U32" si="9">IFERROR(K31/K24,"-")</f>
        <v>0.07168222915</v>
      </c>
      <c r="L32" s="147">
        <f t="shared" si="9"/>
        <v>0.07168222915</v>
      </c>
      <c r="M32" s="147">
        <f t="shared" si="9"/>
        <v>0.07168222915</v>
      </c>
      <c r="N32" s="147">
        <f t="shared" si="9"/>
        <v>0.07168222915</v>
      </c>
      <c r="O32" s="147">
        <f t="shared" si="9"/>
        <v>0.07168222915</v>
      </c>
      <c r="P32" s="147">
        <f t="shared" si="9"/>
        <v>0.07168222915</v>
      </c>
      <c r="Q32" s="147">
        <f t="shared" si="9"/>
        <v>0.07168222915</v>
      </c>
      <c r="R32" s="147">
        <f t="shared" si="9"/>
        <v>0.07168222915</v>
      </c>
      <c r="S32" s="147">
        <f t="shared" si="9"/>
        <v>0.07168222915</v>
      </c>
      <c r="T32" s="147">
        <f t="shared" si="9"/>
        <v>0.07168222915</v>
      </c>
      <c r="U32" s="147">
        <f t="shared" si="9"/>
        <v>0.07168222915</v>
      </c>
      <c r="V32" s="1"/>
      <c r="W32" s="1"/>
      <c r="X32" s="1"/>
      <c r="Y32" s="1"/>
      <c r="Z32" s="1"/>
      <c r="AA32" s="1"/>
    </row>
    <row r="33" ht="15.75" customHeight="1">
      <c r="A33" s="1"/>
      <c r="B33" s="149"/>
      <c r="C33" s="150"/>
      <c r="D33" s="150"/>
      <c r="E33" s="150"/>
      <c r="F33" s="150"/>
      <c r="G33" s="150"/>
      <c r="H33" s="1"/>
      <c r="I33" s="1"/>
      <c r="J33" s="1"/>
      <c r="K33" s="150"/>
      <c r="L33" s="150"/>
      <c r="M33" s="150"/>
      <c r="N33" s="150"/>
      <c r="O33" s="150"/>
      <c r="P33" s="150"/>
      <c r="Q33" s="150"/>
      <c r="R33" s="150"/>
      <c r="S33" s="138"/>
      <c r="T33" s="138"/>
      <c r="U33" s="138"/>
      <c r="V33" s="1"/>
      <c r="W33" s="1"/>
      <c r="X33" s="1"/>
      <c r="Y33" s="1"/>
      <c r="Z33" s="1"/>
      <c r="AA33" s="1"/>
    </row>
    <row r="34" ht="15.75" customHeight="1">
      <c r="A34" s="1"/>
      <c r="B34" s="17" t="s">
        <v>66</v>
      </c>
      <c r="C34" s="141">
        <f t="shared" ref="C34:G34" si="10">C27-C31</f>
        <v>-1.998</v>
      </c>
      <c r="D34" s="141">
        <f t="shared" si="10"/>
        <v>-24.663</v>
      </c>
      <c r="E34" s="141">
        <f t="shared" si="10"/>
        <v>-51.983</v>
      </c>
      <c r="F34" s="141">
        <f t="shared" si="10"/>
        <v>-30.446</v>
      </c>
      <c r="G34" s="141">
        <f t="shared" si="10"/>
        <v>37.999</v>
      </c>
      <c r="H34" s="148"/>
      <c r="I34" s="148"/>
      <c r="J34" s="148"/>
      <c r="K34" s="141">
        <f t="shared" ref="K34:U34" si="11">K27-K31</f>
        <v>54.61786155</v>
      </c>
      <c r="L34" s="141">
        <f t="shared" si="11"/>
        <v>79.25370327</v>
      </c>
      <c r="M34" s="141">
        <f t="shared" si="11"/>
        <v>127.0080636</v>
      </c>
      <c r="N34" s="141">
        <f t="shared" si="11"/>
        <v>168.8326597</v>
      </c>
      <c r="O34" s="141">
        <f t="shared" si="11"/>
        <v>217.2480728</v>
      </c>
      <c r="P34" s="141">
        <f t="shared" si="11"/>
        <v>272.7651114</v>
      </c>
      <c r="Q34" s="141">
        <f t="shared" si="11"/>
        <v>332.3783317</v>
      </c>
      <c r="R34" s="141">
        <f t="shared" si="11"/>
        <v>382.2194786</v>
      </c>
      <c r="S34" s="141">
        <f t="shared" si="11"/>
        <v>432.3975672</v>
      </c>
      <c r="T34" s="141">
        <f t="shared" si="11"/>
        <v>480.2028108</v>
      </c>
      <c r="U34" s="141">
        <f t="shared" si="11"/>
        <v>514.7071938</v>
      </c>
      <c r="V34" s="1"/>
      <c r="W34" s="1"/>
      <c r="X34" s="1"/>
      <c r="Y34" s="1"/>
      <c r="Z34" s="1"/>
    </row>
    <row r="35" ht="15.75" customHeight="1">
      <c r="A35" s="1"/>
      <c r="B35" s="55" t="s">
        <v>67</v>
      </c>
      <c r="C35" s="147">
        <f t="shared" ref="C35:G35" si="12">IFERROR(C34/C24,"-")</f>
        <v>-0.006267448791</v>
      </c>
      <c r="D35" s="147">
        <f t="shared" si="12"/>
        <v>-0.05796389566</v>
      </c>
      <c r="E35" s="147">
        <f t="shared" si="12"/>
        <v>-0.08731590475</v>
      </c>
      <c r="F35" s="147">
        <f t="shared" si="12"/>
        <v>-0.03970035011</v>
      </c>
      <c r="G35" s="147">
        <f t="shared" si="12"/>
        <v>0.03896625946</v>
      </c>
      <c r="H35" s="78"/>
      <c r="I35" s="78"/>
      <c r="J35" s="78"/>
      <c r="K35" s="147">
        <f t="shared" ref="K35:U35" si="13">IFERROR(K34/K24,"-")</f>
        <v>0.04696625946</v>
      </c>
      <c r="L35" s="147">
        <f t="shared" si="13"/>
        <v>0.05446625946</v>
      </c>
      <c r="M35" s="147">
        <f t="shared" si="13"/>
        <v>0.06996625946</v>
      </c>
      <c r="N35" s="147">
        <f t="shared" si="13"/>
        <v>0.07746625946</v>
      </c>
      <c r="O35" s="147">
        <f t="shared" si="13"/>
        <v>0.08496625946</v>
      </c>
      <c r="P35" s="147">
        <f t="shared" si="13"/>
        <v>0.09246625946</v>
      </c>
      <c r="Q35" s="147">
        <f t="shared" si="13"/>
        <v>0.09996625946</v>
      </c>
      <c r="R35" s="147">
        <f t="shared" si="13"/>
        <v>0.1074662595</v>
      </c>
      <c r="S35" s="147">
        <f t="shared" si="13"/>
        <v>0.1149662595</v>
      </c>
      <c r="T35" s="147">
        <f t="shared" si="13"/>
        <v>0.1224662595</v>
      </c>
      <c r="U35" s="147">
        <f t="shared" si="13"/>
        <v>0.1299662595</v>
      </c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38"/>
      <c r="D36" s="138"/>
      <c r="E36" s="138"/>
      <c r="F36" s="138"/>
      <c r="G36" s="138"/>
      <c r="H36" s="1"/>
      <c r="I36" s="1"/>
      <c r="J36" s="1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"/>
      <c r="W36" s="1"/>
      <c r="X36" s="1"/>
      <c r="Y36" s="1"/>
      <c r="Z36" s="1"/>
      <c r="AA36" s="1"/>
    </row>
    <row r="37" ht="15.75" customHeight="1">
      <c r="A37" s="1"/>
      <c r="B37" s="151" t="s">
        <v>68</v>
      </c>
      <c r="C37" s="152">
        <f>Projections!D59</f>
        <v>0.065</v>
      </c>
      <c r="D37" s="152">
        <f>Projections!E59</f>
        <v>0.162</v>
      </c>
      <c r="E37" s="152">
        <f>Projections!F59</f>
        <v>0.282</v>
      </c>
      <c r="F37" s="152">
        <f>Projections!G59</f>
        <v>0.21</v>
      </c>
      <c r="G37" s="152">
        <f>Projections!H59</f>
        <v>0.598</v>
      </c>
      <c r="H37" s="148"/>
      <c r="I37" s="148"/>
      <c r="J37" s="148"/>
      <c r="K37" s="153">
        <f>Projections!J59</f>
        <v>0.8653895019</v>
      </c>
      <c r="L37" s="153">
        <f>Projections!K59</f>
        <v>1.246515069</v>
      </c>
      <c r="M37" s="153">
        <f>Projections!L59</f>
        <v>1.977115249</v>
      </c>
      <c r="N37" s="153">
        <f>Projections!M59</f>
        <v>2.618926822</v>
      </c>
      <c r="O37" s="153">
        <f>Projections!N59</f>
        <v>33.60127379</v>
      </c>
      <c r="P37" s="153">
        <f>Projections!O59</f>
        <v>42.08469967</v>
      </c>
      <c r="Q37" s="153">
        <f>Projections!P59</f>
        <v>51.17541544</v>
      </c>
      <c r="R37" s="153">
        <f>Projections!Q59</f>
        <v>58.74349662</v>
      </c>
      <c r="S37" s="153">
        <f>Projections!R59</f>
        <v>66.35128972</v>
      </c>
      <c r="T37" s="153">
        <f>Projections!S59</f>
        <v>103.0197572</v>
      </c>
      <c r="U37" s="153">
        <f>Projections!T59</f>
        <v>110.2874493</v>
      </c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38"/>
      <c r="D38" s="138"/>
      <c r="E38" s="138"/>
      <c r="F38" s="138"/>
      <c r="G38" s="138"/>
      <c r="H38" s="1"/>
      <c r="I38" s="1"/>
      <c r="J38" s="1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"/>
      <c r="W38" s="1"/>
      <c r="X38" s="1"/>
      <c r="Y38" s="1"/>
      <c r="Z38" s="1"/>
      <c r="AA38" s="1"/>
    </row>
    <row r="39" ht="15.75" customHeight="1">
      <c r="A39" s="1"/>
      <c r="B39" s="17" t="s">
        <v>69</v>
      </c>
      <c r="C39" s="141">
        <f t="shared" ref="C39:G39" si="14">C34-C37</f>
        <v>-2.063</v>
      </c>
      <c r="D39" s="141">
        <f t="shared" si="14"/>
        <v>-24.825</v>
      </c>
      <c r="E39" s="141">
        <f t="shared" si="14"/>
        <v>-52.265</v>
      </c>
      <c r="F39" s="141">
        <f t="shared" si="14"/>
        <v>-30.656</v>
      </c>
      <c r="G39" s="141">
        <f t="shared" si="14"/>
        <v>37.401</v>
      </c>
      <c r="H39" s="148"/>
      <c r="I39" s="148"/>
      <c r="J39" s="148"/>
      <c r="K39" s="141">
        <f t="shared" ref="K39:U39" si="15">K34-K37</f>
        <v>53.75247205</v>
      </c>
      <c r="L39" s="141">
        <f t="shared" si="15"/>
        <v>78.0071882</v>
      </c>
      <c r="M39" s="141">
        <f t="shared" si="15"/>
        <v>125.0309483</v>
      </c>
      <c r="N39" s="141">
        <f t="shared" si="15"/>
        <v>166.2137328</v>
      </c>
      <c r="O39" s="141">
        <f t="shared" si="15"/>
        <v>183.646799</v>
      </c>
      <c r="P39" s="141">
        <f t="shared" si="15"/>
        <v>230.6804118</v>
      </c>
      <c r="Q39" s="141">
        <f t="shared" si="15"/>
        <v>281.2029162</v>
      </c>
      <c r="R39" s="141">
        <f t="shared" si="15"/>
        <v>323.475982</v>
      </c>
      <c r="S39" s="141">
        <f t="shared" si="15"/>
        <v>366.0462774</v>
      </c>
      <c r="T39" s="141">
        <f t="shared" si="15"/>
        <v>377.1830536</v>
      </c>
      <c r="U39" s="141">
        <f t="shared" si="15"/>
        <v>404.4197445</v>
      </c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41"/>
      <c r="D40" s="141"/>
      <c r="E40" s="141"/>
      <c r="F40" s="141"/>
      <c r="G40" s="141"/>
      <c r="H40" s="148"/>
      <c r="I40" s="148"/>
      <c r="J40" s="148"/>
      <c r="K40" s="141"/>
      <c r="L40" s="141"/>
      <c r="M40" s="141"/>
      <c r="N40" s="141"/>
      <c r="O40" s="141"/>
      <c r="P40" s="141"/>
      <c r="Q40" s="141"/>
      <c r="R40" s="141"/>
      <c r="S40" s="138"/>
      <c r="T40" s="138"/>
      <c r="U40" s="138"/>
      <c r="V40" s="1"/>
      <c r="W40" s="1"/>
      <c r="X40" s="1"/>
      <c r="Y40" s="1"/>
      <c r="Z40" s="1"/>
      <c r="AA40" s="1"/>
    </row>
    <row r="41" ht="15.75" customHeight="1">
      <c r="A41" s="1"/>
      <c r="B41" s="1" t="s">
        <v>70</v>
      </c>
      <c r="C41" s="146">
        <f t="shared" ref="C41:G41" si="16">C31</f>
        <v>21.1</v>
      </c>
      <c r="D41" s="146">
        <f t="shared" si="16"/>
        <v>30.5</v>
      </c>
      <c r="E41" s="146">
        <f t="shared" si="16"/>
        <v>34.555</v>
      </c>
      <c r="F41" s="146">
        <f t="shared" si="16"/>
        <v>58.517</v>
      </c>
      <c r="G41" s="146">
        <f t="shared" si="16"/>
        <v>73.615</v>
      </c>
      <c r="H41" s="148"/>
      <c r="I41" s="148"/>
      <c r="J41" s="148"/>
      <c r="K41" s="146">
        <f t="shared" ref="K41:U41" si="17">K31</f>
        <v>83.36048288</v>
      </c>
      <c r="L41" s="146">
        <f t="shared" si="17"/>
        <v>104.3046131</v>
      </c>
      <c r="M41" s="146">
        <f t="shared" si="17"/>
        <v>130.123022</v>
      </c>
      <c r="N41" s="146">
        <f t="shared" si="17"/>
        <v>156.2267429</v>
      </c>
      <c r="O41" s="146">
        <f t="shared" si="17"/>
        <v>183.2824728</v>
      </c>
      <c r="P41" s="146">
        <f t="shared" si="17"/>
        <v>211.4545493</v>
      </c>
      <c r="Q41" s="146">
        <f t="shared" si="17"/>
        <v>238.3366134</v>
      </c>
      <c r="R41" s="146">
        <f t="shared" si="17"/>
        <v>254.9483381</v>
      </c>
      <c r="S41" s="146">
        <f t="shared" si="17"/>
        <v>269.6027655</v>
      </c>
      <c r="T41" s="146">
        <f t="shared" si="17"/>
        <v>281.0734</v>
      </c>
      <c r="U41" s="146">
        <f t="shared" si="17"/>
        <v>283.884134</v>
      </c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38"/>
      <c r="D42" s="138"/>
      <c r="E42" s="138"/>
      <c r="F42" s="138"/>
      <c r="G42" s="138"/>
      <c r="H42" s="1"/>
      <c r="I42" s="1"/>
      <c r="J42" s="1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"/>
      <c r="W42" s="1"/>
      <c r="X42" s="1"/>
      <c r="Y42" s="1"/>
      <c r="Z42" s="1"/>
      <c r="AA42" s="1"/>
    </row>
    <row r="43" ht="15.75" customHeight="1">
      <c r="A43" s="1"/>
      <c r="B43" s="1" t="s">
        <v>71</v>
      </c>
      <c r="C43" s="154">
        <v>134.6</v>
      </c>
      <c r="D43" s="154">
        <v>322.1</v>
      </c>
      <c r="E43" s="154">
        <v>230.1</v>
      </c>
      <c r="F43" s="154">
        <v>239.1</v>
      </c>
      <c r="G43" s="154">
        <v>187.1</v>
      </c>
      <c r="H43" s="1"/>
      <c r="I43" s="136" t="s">
        <v>72</v>
      </c>
      <c r="J43" s="1"/>
      <c r="K43" s="155">
        <f t="shared" ref="K43:U43" si="18">IFERROR(K44*K24,"-")</f>
        <v>211.650894</v>
      </c>
      <c r="L43" s="155">
        <f t="shared" si="18"/>
        <v>203.7136122</v>
      </c>
      <c r="M43" s="155">
        <f t="shared" si="18"/>
        <v>181.5275885</v>
      </c>
      <c r="N43" s="155">
        <f t="shared" si="18"/>
        <v>217.9434774</v>
      </c>
      <c r="O43" s="155">
        <f t="shared" si="18"/>
        <v>255.6874625</v>
      </c>
      <c r="P43" s="155">
        <f t="shared" si="18"/>
        <v>235.9910419</v>
      </c>
      <c r="Q43" s="155">
        <f t="shared" si="18"/>
        <v>199.4943095</v>
      </c>
      <c r="R43" s="155">
        <f t="shared" si="18"/>
        <v>177.8323171</v>
      </c>
      <c r="S43" s="155">
        <f t="shared" si="18"/>
        <v>188.0541166</v>
      </c>
      <c r="T43" s="155">
        <f t="shared" si="18"/>
        <v>196.0551473</v>
      </c>
      <c r="U43" s="155">
        <f t="shared" si="18"/>
        <v>316.8251181</v>
      </c>
      <c r="V43" s="136"/>
      <c r="W43" s="136"/>
      <c r="X43" s="1"/>
      <c r="Y43" s="1"/>
      <c r="Z43" s="1"/>
      <c r="AA43" s="1"/>
    </row>
    <row r="44" ht="15.75" customHeight="1">
      <c r="A44" s="1"/>
      <c r="B44" s="55" t="s">
        <v>64</v>
      </c>
      <c r="C44" s="147">
        <f t="shared" ref="C44:G44" si="19">IFERROR(C43/C24,"-")</f>
        <v>0.4222215251</v>
      </c>
      <c r="D44" s="147">
        <f t="shared" si="19"/>
        <v>0.7570113446</v>
      </c>
      <c r="E44" s="147">
        <f t="shared" si="19"/>
        <v>0.3864992341</v>
      </c>
      <c r="F44" s="147">
        <f t="shared" si="19"/>
        <v>0.31177671</v>
      </c>
      <c r="G44" s="147">
        <f t="shared" si="19"/>
        <v>0.1918626055</v>
      </c>
      <c r="H44" s="78"/>
      <c r="I44" s="144">
        <f>IFERROR(AVERAGE(C44:G44),"-")</f>
        <v>0.4138742838</v>
      </c>
      <c r="J44" s="78">
        <v>2.0E-4</v>
      </c>
      <c r="K44" s="156">
        <v>0.182</v>
      </c>
      <c r="L44" s="156">
        <v>0.14</v>
      </c>
      <c r="M44" s="156">
        <v>0.1</v>
      </c>
      <c r="N44" s="156">
        <v>0.1</v>
      </c>
      <c r="O44" s="156">
        <v>0.1</v>
      </c>
      <c r="P44" s="156">
        <v>0.08</v>
      </c>
      <c r="Q44" s="156">
        <v>0.06</v>
      </c>
      <c r="R44" s="156">
        <v>0.05</v>
      </c>
      <c r="S44" s="156">
        <v>0.05</v>
      </c>
      <c r="T44" s="156">
        <v>0.05</v>
      </c>
      <c r="U44" s="156">
        <v>0.08</v>
      </c>
      <c r="V44" s="157"/>
      <c r="W44" s="157"/>
      <c r="X44" s="1"/>
      <c r="Y44" s="1"/>
      <c r="Z44" s="1"/>
      <c r="AA44" s="1"/>
    </row>
    <row r="45" ht="15.75" customHeight="1">
      <c r="A45" s="1"/>
      <c r="B45" s="1"/>
      <c r="C45" s="138"/>
      <c r="D45" s="138"/>
      <c r="E45" s="138"/>
      <c r="F45" s="138"/>
      <c r="G45" s="138"/>
      <c r="H45" s="1"/>
      <c r="I45" s="1"/>
      <c r="J45" s="1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"/>
      <c r="W45" s="1"/>
      <c r="X45" s="1"/>
      <c r="Y45" s="1"/>
      <c r="Z45" s="1"/>
      <c r="AA45" s="1"/>
    </row>
    <row r="46" ht="15.75" customHeight="1">
      <c r="A46" s="1"/>
      <c r="B46" s="1" t="s">
        <v>73</v>
      </c>
      <c r="C46" s="146" t="str">
        <f>Projections!D103</f>
        <v>-</v>
      </c>
      <c r="D46" s="146">
        <f>Projections!E103</f>
        <v>16.425</v>
      </c>
      <c r="E46" s="146">
        <f>Projections!F103</f>
        <v>79.64</v>
      </c>
      <c r="F46" s="146">
        <f>Projections!G103</f>
        <v>166.354</v>
      </c>
      <c r="G46" s="146">
        <f>Projections!H103*(1-C15)</f>
        <v>0.1484888889</v>
      </c>
      <c r="H46" s="148"/>
      <c r="I46" s="148"/>
      <c r="J46" s="148"/>
      <c r="K46" s="146">
        <f>Projections!J103</f>
        <v>-12.88249429</v>
      </c>
      <c r="L46" s="146">
        <f>Projections!K103</f>
        <v>59.7030531</v>
      </c>
      <c r="M46" s="146">
        <f>Projections!L103</f>
        <v>121.5046853</v>
      </c>
      <c r="N46" s="146">
        <f>Projections!M103</f>
        <v>97.32403197</v>
      </c>
      <c r="O46" s="146">
        <f>Projections!N103</f>
        <v>105.0777905</v>
      </c>
      <c r="P46" s="146">
        <f>Projections!O103</f>
        <v>107.6131681</v>
      </c>
      <c r="Q46" s="146">
        <f>Projections!P103</f>
        <v>103.5713354</v>
      </c>
      <c r="R46" s="146">
        <f>Projections!Q103</f>
        <v>61.40900341</v>
      </c>
      <c r="S46" s="146">
        <f>Projections!R103</f>
        <v>55.950616</v>
      </c>
      <c r="T46" s="146">
        <f>Projections!S103</f>
        <v>42.40924382</v>
      </c>
      <c r="U46" s="146">
        <f>Projections!T103</f>
        <v>9.499729184</v>
      </c>
      <c r="V46" s="1"/>
      <c r="W46" s="1"/>
      <c r="X46" s="1"/>
      <c r="Y46" s="1"/>
      <c r="Z46" s="1"/>
      <c r="AA46" s="1"/>
    </row>
    <row r="47" ht="15.75" customHeight="1">
      <c r="A47" s="1"/>
      <c r="B47" s="55" t="s">
        <v>64</v>
      </c>
      <c r="C47" s="147" t="str">
        <f t="shared" ref="C47:G47" si="20">IFERROR(C46/C24,"-")</f>
        <v>-</v>
      </c>
      <c r="D47" s="147">
        <f t="shared" si="20"/>
        <v>0.03860264308</v>
      </c>
      <c r="E47" s="147">
        <f t="shared" si="20"/>
        <v>0.1337713994</v>
      </c>
      <c r="F47" s="147">
        <f t="shared" si="20"/>
        <v>0.2169188742</v>
      </c>
      <c r="G47" s="147">
        <f t="shared" si="20"/>
        <v>0.0001522686537</v>
      </c>
      <c r="H47" s="78"/>
      <c r="I47" s="78"/>
      <c r="J47" s="78"/>
      <c r="K47" s="147">
        <f>Projections!J104</f>
        <v>-0.01107774183</v>
      </c>
      <c r="L47" s="147">
        <f>Projections!K104</f>
        <v>0.04103028434</v>
      </c>
      <c r="M47" s="147">
        <f>Projections!L104</f>
        <v>0.06693455592</v>
      </c>
      <c r="N47" s="147">
        <f>Projections!M104</f>
        <v>0.04465562959</v>
      </c>
      <c r="O47" s="147">
        <f>Projections!N104</f>
        <v>0.04109618418</v>
      </c>
      <c r="P47" s="147">
        <f>Projections!O104</f>
        <v>0.03648042475</v>
      </c>
      <c r="Q47" s="147">
        <f>Projections!P104</f>
        <v>0.03115016233</v>
      </c>
      <c r="R47" s="147">
        <f>Projections!Q104</f>
        <v>0.01726598528</v>
      </c>
      <c r="S47" s="147">
        <f>Projections!R104</f>
        <v>0.0148762008</v>
      </c>
      <c r="T47" s="147">
        <f>Projections!S104</f>
        <v>0.01081564152</v>
      </c>
      <c r="U47" s="147">
        <f>Projections!T104</f>
        <v>0.002398731323</v>
      </c>
      <c r="V47" s="1"/>
      <c r="W47" s="1"/>
      <c r="X47" s="1"/>
      <c r="Y47" s="1"/>
      <c r="Z47" s="1"/>
      <c r="AA47" s="1"/>
    </row>
    <row r="48" ht="15.75" customHeight="1">
      <c r="A48" s="1"/>
      <c r="B48" s="149"/>
      <c r="C48" s="150"/>
      <c r="D48" s="150"/>
      <c r="E48" s="150"/>
      <c r="F48" s="150"/>
      <c r="G48" s="150"/>
      <c r="H48" s="1"/>
      <c r="I48" s="136"/>
      <c r="J48" s="1"/>
      <c r="K48" s="150"/>
      <c r="L48" s="150"/>
      <c r="M48" s="150"/>
      <c r="N48" s="150"/>
      <c r="O48" s="150"/>
      <c r="P48" s="150"/>
      <c r="Q48" s="150"/>
      <c r="R48" s="150"/>
      <c r="S48" s="138"/>
      <c r="T48" s="138"/>
      <c r="U48" s="138"/>
      <c r="V48" s="136"/>
      <c r="W48" s="136" t="s">
        <v>58</v>
      </c>
      <c r="X48" s="1"/>
      <c r="Y48" s="1"/>
      <c r="Z48" s="1"/>
      <c r="AA48" s="1"/>
    </row>
    <row r="49" ht="15.75" customHeight="1">
      <c r="A49" s="1"/>
      <c r="B49" s="17" t="s">
        <v>74</v>
      </c>
      <c r="C49" s="146" t="str">
        <f t="shared" ref="C49:G49" si="21">IFERROR(C39+C41-C43-C46,"-")</f>
        <v>-</v>
      </c>
      <c r="D49" s="146">
        <f t="shared" si="21"/>
        <v>-332.85</v>
      </c>
      <c r="E49" s="146">
        <f t="shared" si="21"/>
        <v>-327.45</v>
      </c>
      <c r="F49" s="146">
        <f t="shared" si="21"/>
        <v>-377.593</v>
      </c>
      <c r="G49" s="146">
        <f t="shared" si="21"/>
        <v>-76.23248889</v>
      </c>
      <c r="H49" s="1"/>
      <c r="I49" s="140"/>
      <c r="J49" s="1"/>
      <c r="K49" s="146">
        <f t="shared" ref="K49:U49" si="22">IFERROR(K39+K41-K43-K46,"-")</f>
        <v>-61.65544478</v>
      </c>
      <c r="L49" s="146">
        <f t="shared" si="22"/>
        <v>-81.10486402</v>
      </c>
      <c r="M49" s="146">
        <f t="shared" si="22"/>
        <v>-47.87830347</v>
      </c>
      <c r="N49" s="146">
        <f t="shared" si="22"/>
        <v>7.172966362</v>
      </c>
      <c r="O49" s="146">
        <f t="shared" si="22"/>
        <v>6.164018772</v>
      </c>
      <c r="P49" s="146">
        <f t="shared" si="22"/>
        <v>98.53075105</v>
      </c>
      <c r="Q49" s="146">
        <f t="shared" si="22"/>
        <v>216.4738848</v>
      </c>
      <c r="R49" s="146">
        <f t="shared" si="22"/>
        <v>339.1829996</v>
      </c>
      <c r="S49" s="146">
        <f t="shared" si="22"/>
        <v>391.6443104</v>
      </c>
      <c r="T49" s="146">
        <f t="shared" si="22"/>
        <v>419.7920625</v>
      </c>
      <c r="U49" s="146">
        <f t="shared" si="22"/>
        <v>361.9790312</v>
      </c>
      <c r="V49" s="140"/>
      <c r="W49" s="140" t="s">
        <v>61</v>
      </c>
      <c r="X49" s="1"/>
      <c r="Y49" s="1"/>
      <c r="Z49" s="1"/>
      <c r="AA49" s="1"/>
    </row>
    <row r="50" ht="15.75" customHeight="1">
      <c r="A50" s="1"/>
      <c r="B50" s="55" t="s">
        <v>62</v>
      </c>
      <c r="C50" s="143" t="str">
        <f t="shared" ref="C50:G50" si="23">IFERROR((C49/B49)-1,"-")</f>
        <v>-</v>
      </c>
      <c r="D50" s="143" t="str">
        <f t="shared" si="23"/>
        <v>-</v>
      </c>
      <c r="E50" s="143">
        <f t="shared" si="23"/>
        <v>-0.01622352411</v>
      </c>
      <c r="F50" s="143">
        <f t="shared" si="23"/>
        <v>0.1531317758</v>
      </c>
      <c r="G50" s="143">
        <f t="shared" si="23"/>
        <v>-0.7981093694</v>
      </c>
      <c r="H50" s="78"/>
      <c r="I50" s="158"/>
      <c r="J50" s="78"/>
      <c r="K50" s="143">
        <f>(K49)/G49-1</f>
        <v>-0.191218263</v>
      </c>
      <c r="L50" s="143">
        <f>(L49)/K49-1</f>
        <v>0.3154533927</v>
      </c>
      <c r="M50" s="143">
        <f t="shared" ref="M50:N50" si="24">((M49)/L49-1)*-1</f>
        <v>0.40967408</v>
      </c>
      <c r="N50" s="143">
        <f t="shared" si="24"/>
        <v>1.149816636</v>
      </c>
      <c r="O50" s="143">
        <f t="shared" ref="O50:U50" si="25">(O49)/N49-1</f>
        <v>-0.1406597409</v>
      </c>
      <c r="P50" s="143">
        <f t="shared" si="25"/>
        <v>14.98482333</v>
      </c>
      <c r="Q50" s="143">
        <f t="shared" si="25"/>
        <v>1.197018519</v>
      </c>
      <c r="R50" s="143">
        <f t="shared" si="25"/>
        <v>0.5668541262</v>
      </c>
      <c r="S50" s="143">
        <f t="shared" si="25"/>
        <v>0.1546696351</v>
      </c>
      <c r="T50" s="143">
        <f t="shared" si="25"/>
        <v>0.0718707033</v>
      </c>
      <c r="U50" s="143">
        <f t="shared" si="25"/>
        <v>-0.1377182573</v>
      </c>
      <c r="V50" s="145"/>
      <c r="W50" s="144" t="str">
        <f>IFERROR((U49/(K49+H49))^(1/(U22-K22))-1,"-")</f>
        <v>-</v>
      </c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"/>
      <c r="W51" s="1"/>
      <c r="X51" s="1"/>
      <c r="Y51" s="1"/>
      <c r="Z51" s="1"/>
      <c r="AA51" s="1"/>
    </row>
    <row r="52" ht="15.75" customHeight="1">
      <c r="A52" s="1"/>
      <c r="B52" s="1" t="s">
        <v>75</v>
      </c>
      <c r="C52" s="1"/>
      <c r="D52" s="1"/>
      <c r="E52" s="1"/>
      <c r="F52" s="1"/>
      <c r="G52" s="1"/>
      <c r="H52" s="1"/>
      <c r="I52" s="1"/>
      <c r="J52" s="1"/>
      <c r="K52" s="138">
        <v>1.0</v>
      </c>
      <c r="L52" s="138">
        <v>2.0</v>
      </c>
      <c r="M52" s="138">
        <v>3.0</v>
      </c>
      <c r="N52" s="138">
        <v>4.0</v>
      </c>
      <c r="O52" s="138">
        <v>5.0</v>
      </c>
      <c r="P52" s="138">
        <v>6.0</v>
      </c>
      <c r="Q52" s="138">
        <v>7.0</v>
      </c>
      <c r="R52" s="138">
        <v>8.0</v>
      </c>
      <c r="S52" s="138">
        <v>9.0</v>
      </c>
      <c r="T52" s="138">
        <v>10.0</v>
      </c>
      <c r="U52" s="138">
        <v>11.0</v>
      </c>
      <c r="V52" s="1"/>
      <c r="W52" s="1"/>
      <c r="X52" s="1"/>
      <c r="Y52" s="1"/>
      <c r="Z52" s="1"/>
      <c r="AA52" s="1"/>
    </row>
    <row r="53" ht="15.75" customHeight="1">
      <c r="A53" s="1"/>
      <c r="B53" s="1" t="s">
        <v>76</v>
      </c>
      <c r="C53" s="1"/>
      <c r="D53" s="1"/>
      <c r="E53" s="1"/>
      <c r="F53" s="1"/>
      <c r="G53" s="1"/>
      <c r="H53" s="1"/>
      <c r="I53" s="1"/>
      <c r="J53" s="1"/>
      <c r="K53" s="159">
        <f t="shared" ref="K53:U53" si="26">($C$15+K52)-0.5</f>
        <v>0.9222222222</v>
      </c>
      <c r="L53" s="159">
        <f t="shared" si="26"/>
        <v>1.922222222</v>
      </c>
      <c r="M53" s="159">
        <f t="shared" si="26"/>
        <v>2.922222222</v>
      </c>
      <c r="N53" s="159">
        <f t="shared" si="26"/>
        <v>3.922222222</v>
      </c>
      <c r="O53" s="159">
        <f t="shared" si="26"/>
        <v>4.922222222</v>
      </c>
      <c r="P53" s="159">
        <f t="shared" si="26"/>
        <v>5.922222222</v>
      </c>
      <c r="Q53" s="159">
        <f t="shared" si="26"/>
        <v>6.922222222</v>
      </c>
      <c r="R53" s="159">
        <f t="shared" si="26"/>
        <v>7.922222222</v>
      </c>
      <c r="S53" s="159">
        <f t="shared" si="26"/>
        <v>8.922222222</v>
      </c>
      <c r="T53" s="159">
        <f t="shared" si="26"/>
        <v>9.922222222</v>
      </c>
      <c r="U53" s="159">
        <f t="shared" si="26"/>
        <v>10.92222222</v>
      </c>
      <c r="V53" s="1"/>
      <c r="W53" s="1"/>
      <c r="X53" s="1"/>
      <c r="Y53" s="1"/>
      <c r="Z53" s="1"/>
      <c r="AA53" s="1"/>
    </row>
    <row r="54" ht="15.75" customHeight="1">
      <c r="A54" s="1"/>
      <c r="B54" s="1" t="s">
        <v>77</v>
      </c>
      <c r="C54" s="1"/>
      <c r="D54" s="1"/>
      <c r="E54" s="1"/>
      <c r="F54" s="1"/>
      <c r="G54" s="1"/>
      <c r="H54" s="1"/>
      <c r="I54" s="1"/>
      <c r="J54" s="1"/>
      <c r="K54" s="160">
        <f t="shared" ref="K54:M54" si="27">1/(1+$C$16)^K53</f>
        <v>0.9450621989</v>
      </c>
      <c r="L54" s="160">
        <f t="shared" si="27"/>
        <v>0.8888964655</v>
      </c>
      <c r="M54" s="160">
        <f t="shared" si="27"/>
        <v>0.8360687024</v>
      </c>
      <c r="N54" s="160">
        <f>IFERROR((1/(1+C16))^N53,"-")</f>
        <v>0.7863805316</v>
      </c>
      <c r="O54" s="160">
        <f>IFERROR((1/(1+C16))^O53,"-")</f>
        <v>0.739645365</v>
      </c>
      <c r="P54" s="160">
        <f>IFERROR((1/(1+C16))^P53,"-")</f>
        <v>0.6956877033</v>
      </c>
      <c r="Q54" s="160">
        <f>IFERROR((1/(1+C16))^Q53,"-")</f>
        <v>0.6543424774</v>
      </c>
      <c r="R54" s="160">
        <f>IFERROR((1/(1+C16))^R53,"-")</f>
        <v>0.6154544283</v>
      </c>
      <c r="S54" s="160">
        <f>IFERROR((1/(1+C16))^S53,"-")</f>
        <v>0.5788775242</v>
      </c>
      <c r="T54" s="160">
        <f t="shared" ref="T54:U54" si="28">IFERROR((1/(1+C16))^T53,"-")</f>
        <v>0.5444744122</v>
      </c>
      <c r="U54" s="160">
        <f t="shared" si="28"/>
        <v>1</v>
      </c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"/>
      <c r="W55" s="1"/>
      <c r="X55" s="1"/>
      <c r="Y55" s="1"/>
      <c r="Z55" s="1"/>
      <c r="AA55" s="1"/>
    </row>
    <row r="56" ht="15.75" customHeight="1">
      <c r="A56" s="1"/>
      <c r="B56" s="161" t="s">
        <v>78</v>
      </c>
      <c r="C56" s="86"/>
      <c r="D56" s="86"/>
      <c r="E56" s="86"/>
      <c r="F56" s="86"/>
      <c r="G56" s="86"/>
      <c r="H56" s="86"/>
      <c r="I56" s="86"/>
      <c r="J56" s="86"/>
      <c r="K56" s="162">
        <f t="shared" ref="K56:U56" si="29">K54*K49</f>
        <v>-58.26823022</v>
      </c>
      <c r="L56" s="162">
        <f t="shared" si="29"/>
        <v>-72.09382696</v>
      </c>
      <c r="M56" s="162">
        <f t="shared" si="29"/>
        <v>-40.02955105</v>
      </c>
      <c r="N56" s="162">
        <f t="shared" si="29"/>
        <v>5.640681101</v>
      </c>
      <c r="O56" s="162">
        <f t="shared" si="29"/>
        <v>4.559187915</v>
      </c>
      <c r="P56" s="162">
        <f t="shared" si="29"/>
        <v>68.54663191</v>
      </c>
      <c r="Q56" s="162">
        <f t="shared" si="29"/>
        <v>141.6480581</v>
      </c>
      <c r="R56" s="162">
        <f t="shared" si="29"/>
        <v>208.7516791</v>
      </c>
      <c r="S56" s="162">
        <f t="shared" si="29"/>
        <v>226.7140888</v>
      </c>
      <c r="T56" s="162">
        <f t="shared" si="29"/>
        <v>228.5660364</v>
      </c>
      <c r="U56" s="162">
        <f t="shared" si="29"/>
        <v>361.9790312</v>
      </c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 t="s">
        <v>79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B2:C2"/>
    <mergeCell ref="C21:G21"/>
  </mergeCells>
  <dataValidations>
    <dataValidation type="list" allowBlank="1" showErrorMessage="1" sqref="C3">
      <formula1>"Base,Bull,Bear"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1.22" defaultRowHeight="15.0"/>
  <cols>
    <col customWidth="1" min="1" max="2" width="10.44"/>
    <col customWidth="1" min="3" max="3" width="46.44"/>
    <col customWidth="1" min="4" max="4" width="13.44"/>
    <col customWidth="1" min="5" max="5" width="14.67"/>
    <col customWidth="1" min="6" max="6" width="15.0"/>
    <col customWidth="1" min="7" max="8" width="15.11"/>
    <col customWidth="1" min="9" max="20" width="15.0"/>
    <col customWidth="1" min="21" max="22" width="10.44"/>
    <col customWidth="1" min="23" max="23" width="11.11"/>
    <col customWidth="1" min="24" max="42" width="10.44"/>
  </cols>
  <sheetData>
    <row r="1" ht="15.75" customHeight="1">
      <c r="A1" s="1"/>
      <c r="B1" s="1"/>
      <c r="C1" s="1"/>
      <c r="D1" s="1"/>
      <c r="E1" s="1"/>
      <c r="F1" s="83"/>
      <c r="H1" s="163"/>
      <c r="I1" s="164"/>
      <c r="J1" s="1"/>
      <c r="K1" s="83"/>
      <c r="L1" s="8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5.75" customHeight="1">
      <c r="A2" s="1"/>
      <c r="B2" s="1"/>
      <c r="C2" s="1"/>
      <c r="D2" s="1"/>
      <c r="E2" s="165"/>
      <c r="F2" s="1"/>
      <c r="G2" s="1"/>
      <c r="H2" s="1"/>
      <c r="I2" s="166"/>
      <c r="J2" s="167"/>
      <c r="K2" s="167"/>
      <c r="L2" s="1"/>
      <c r="M2" s="168"/>
      <c r="N2" s="16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ht="15.75" customHeight="1">
      <c r="A3" s="1"/>
      <c r="B3" s="1"/>
      <c r="C3" s="17" t="s">
        <v>80</v>
      </c>
      <c r="D3" s="78">
        <f t="shared" ref="D3:H3" si="1">(D9-D31)/D9</f>
        <v>0.4169202296</v>
      </c>
      <c r="E3" s="78">
        <f t="shared" si="1"/>
        <v>0.3810815321</v>
      </c>
      <c r="F3" s="78">
        <f t="shared" si="1"/>
        <v>0.3124798436</v>
      </c>
      <c r="G3" s="78">
        <f t="shared" si="1"/>
        <v>0.3271269209</v>
      </c>
      <c r="H3" s="78">
        <f t="shared" si="1"/>
        <v>0.406035007</v>
      </c>
      <c r="I3" s="111"/>
      <c r="J3" s="78">
        <f t="shared" ref="J3:T3" si="2">(J9-J31)/J9</f>
        <v>0.414035007</v>
      </c>
      <c r="K3" s="78">
        <f t="shared" si="2"/>
        <v>0.422035007</v>
      </c>
      <c r="L3" s="78">
        <f t="shared" si="2"/>
        <v>0.438035007</v>
      </c>
      <c r="M3" s="78">
        <f t="shared" si="2"/>
        <v>0.446035007</v>
      </c>
      <c r="N3" s="78">
        <f t="shared" si="2"/>
        <v>0.454035007</v>
      </c>
      <c r="O3" s="78">
        <f t="shared" si="2"/>
        <v>0.462035007</v>
      </c>
      <c r="P3" s="78">
        <f t="shared" si="2"/>
        <v>0.470035007</v>
      </c>
      <c r="Q3" s="78">
        <f t="shared" si="2"/>
        <v>0.478035007</v>
      </c>
      <c r="R3" s="78">
        <f t="shared" si="2"/>
        <v>0.486035007</v>
      </c>
      <c r="S3" s="78">
        <f t="shared" si="2"/>
        <v>0.494035007</v>
      </c>
      <c r="T3" s="78">
        <f t="shared" si="2"/>
        <v>0.502035007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15.75" customHeight="1">
      <c r="A4" s="1"/>
      <c r="B4" s="1"/>
      <c r="C4" s="1"/>
      <c r="D4" s="1"/>
      <c r="E4" s="1"/>
      <c r="F4" s="83"/>
      <c r="G4" s="83"/>
      <c r="H4" s="83"/>
      <c r="I4" s="170"/>
      <c r="J4" s="1"/>
      <c r="K4" s="83"/>
      <c r="L4" s="8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ht="15.75" customHeight="1">
      <c r="A5" s="1"/>
      <c r="B5" s="171" t="s">
        <v>41</v>
      </c>
      <c r="C5" s="172" t="s">
        <v>42</v>
      </c>
      <c r="D5" s="1"/>
      <c r="E5" s="1"/>
      <c r="F5" s="1"/>
      <c r="G5" s="1"/>
      <c r="H5" s="1"/>
      <c r="I5" s="105"/>
      <c r="J5" s="17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ht="15.75" customHeight="1">
      <c r="A6" s="1"/>
      <c r="B6" s="48"/>
      <c r="C6" s="48"/>
      <c r="D6" s="48"/>
      <c r="E6" s="48"/>
      <c r="F6" s="48"/>
      <c r="G6" s="1"/>
      <c r="H6" s="1"/>
      <c r="I6" s="105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ht="15.75" customHeight="1">
      <c r="A7" s="1"/>
      <c r="B7" s="17" t="s">
        <v>81</v>
      </c>
      <c r="C7" s="1"/>
      <c r="D7" s="174">
        <v>2020.0</v>
      </c>
      <c r="E7" s="174">
        <v>2021.0</v>
      </c>
      <c r="F7" s="174">
        <v>2022.0</v>
      </c>
      <c r="G7" s="174">
        <v>2023.0</v>
      </c>
      <c r="H7" s="174">
        <v>2024.0</v>
      </c>
      <c r="I7" s="175"/>
      <c r="J7" s="133">
        <f>H7+1</f>
        <v>2025</v>
      </c>
      <c r="K7" s="133">
        <f t="shared" ref="K7:T7" si="3">J7+1</f>
        <v>2026</v>
      </c>
      <c r="L7" s="133">
        <f t="shared" si="3"/>
        <v>2027</v>
      </c>
      <c r="M7" s="133">
        <f t="shared" si="3"/>
        <v>2028</v>
      </c>
      <c r="N7" s="133">
        <f t="shared" si="3"/>
        <v>2029</v>
      </c>
      <c r="O7" s="133">
        <f t="shared" si="3"/>
        <v>2030</v>
      </c>
      <c r="P7" s="133">
        <f t="shared" si="3"/>
        <v>2031</v>
      </c>
      <c r="Q7" s="133">
        <f t="shared" si="3"/>
        <v>2032</v>
      </c>
      <c r="R7" s="133">
        <f t="shared" si="3"/>
        <v>2033</v>
      </c>
      <c r="S7" s="133">
        <f t="shared" si="3"/>
        <v>2034</v>
      </c>
      <c r="T7" s="133">
        <f t="shared" si="3"/>
        <v>2035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ht="15.75" customHeight="1">
      <c r="A8" s="1"/>
      <c r="B8" s="1"/>
      <c r="C8" s="1"/>
      <c r="D8" s="1"/>
      <c r="E8" s="1"/>
      <c r="F8" s="1"/>
      <c r="G8" s="1"/>
      <c r="H8" s="1"/>
      <c r="I8" s="10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ht="15.75" customHeight="1">
      <c r="A9" s="1"/>
      <c r="B9" s="1"/>
      <c r="C9" s="17" t="s">
        <v>59</v>
      </c>
      <c r="D9" s="176">
        <f t="shared" ref="D9:H9" si="4"> SUM(D19,D23)</f>
        <v>318.79</v>
      </c>
      <c r="E9" s="176">
        <f t="shared" si="4"/>
        <v>425.489</v>
      </c>
      <c r="F9" s="176">
        <f t="shared" si="4"/>
        <v>595.344</v>
      </c>
      <c r="G9" s="176">
        <f t="shared" si="4"/>
        <v>766.895</v>
      </c>
      <c r="H9" s="176">
        <f t="shared" si="4"/>
        <v>975.177</v>
      </c>
      <c r="I9" s="177"/>
      <c r="J9" s="18">
        <f t="shared" ref="J9:T9" si="5">SUM(J19+J23)</f>
        <v>1162.917</v>
      </c>
      <c r="K9" s="18">
        <f t="shared" si="5"/>
        <v>1455.09723</v>
      </c>
      <c r="L9" s="18">
        <f t="shared" si="5"/>
        <v>1815.275885</v>
      </c>
      <c r="M9" s="18">
        <f t="shared" si="5"/>
        <v>2179.434774</v>
      </c>
      <c r="N9" s="18">
        <f t="shared" si="5"/>
        <v>2556.874625</v>
      </c>
      <c r="O9" s="18">
        <f t="shared" si="5"/>
        <v>2949.888024</v>
      </c>
      <c r="P9" s="18">
        <f t="shared" si="5"/>
        <v>3324.905158</v>
      </c>
      <c r="Q9" s="18">
        <f t="shared" si="5"/>
        <v>3556.646342</v>
      </c>
      <c r="R9" s="18">
        <f t="shared" si="5"/>
        <v>3761.082332</v>
      </c>
      <c r="S9" s="18">
        <f t="shared" si="5"/>
        <v>3921.102947</v>
      </c>
      <c r="T9" s="18">
        <f t="shared" si="5"/>
        <v>3960.313976</v>
      </c>
      <c r="U9" s="1"/>
      <c r="V9" s="1"/>
      <c r="W9" s="178"/>
      <c r="X9" s="6"/>
      <c r="Y9" s="6"/>
      <c r="Z9" s="6"/>
      <c r="AA9" s="6"/>
      <c r="AB9" s="6"/>
      <c r="AC9" s="6"/>
      <c r="AD9" s="6"/>
      <c r="AE9" s="6"/>
      <c r="AF9" s="7"/>
      <c r="AG9" s="138"/>
      <c r="AH9" s="178"/>
      <c r="AI9" s="6"/>
      <c r="AJ9" s="6"/>
      <c r="AK9" s="6"/>
      <c r="AL9" s="6"/>
      <c r="AM9" s="6"/>
      <c r="AN9" s="6"/>
      <c r="AO9" s="6"/>
      <c r="AP9" s="7"/>
    </row>
    <row r="10" ht="15.75" customHeight="1">
      <c r="A10" s="1"/>
      <c r="B10" s="1"/>
      <c r="C10" s="179" t="s">
        <v>62</v>
      </c>
      <c r="D10" s="180" t="str">
        <f>IFERROR((E9/C9)-1,"-")</f>
        <v>-</v>
      </c>
      <c r="E10" s="180">
        <f t="shared" ref="E10:H10" si="6">IFERROR((E9/D9)-1,"-")</f>
        <v>0.3346999592</v>
      </c>
      <c r="F10" s="180">
        <f t="shared" si="6"/>
        <v>0.3991995093</v>
      </c>
      <c r="G10" s="180">
        <f t="shared" si="6"/>
        <v>0.2881544116</v>
      </c>
      <c r="H10" s="180">
        <f t="shared" si="6"/>
        <v>0.2715912869</v>
      </c>
      <c r="I10" s="181"/>
      <c r="J10" s="180">
        <f>IFERROR((J9/H9)-1,"-")</f>
        <v>0.1925188966</v>
      </c>
      <c r="K10" s="180">
        <f t="shared" ref="K10:T10" si="7">IFERROR((K9/J9)-1,"-")</f>
        <v>0.2512477073</v>
      </c>
      <c r="L10" s="180">
        <f t="shared" si="7"/>
        <v>0.2475289266</v>
      </c>
      <c r="M10" s="180">
        <f t="shared" si="7"/>
        <v>0.200608013</v>
      </c>
      <c r="N10" s="180">
        <f t="shared" si="7"/>
        <v>0.1731824491</v>
      </c>
      <c r="O10" s="180">
        <f t="shared" si="7"/>
        <v>0.1537085138</v>
      </c>
      <c r="P10" s="180">
        <f t="shared" si="7"/>
        <v>0.1271292776</v>
      </c>
      <c r="Q10" s="180">
        <f t="shared" si="7"/>
        <v>0.06969858495</v>
      </c>
      <c r="R10" s="180">
        <f t="shared" si="7"/>
        <v>0.057479988</v>
      </c>
      <c r="S10" s="180">
        <f t="shared" si="7"/>
        <v>0.04254642708</v>
      </c>
      <c r="T10" s="180">
        <f t="shared" si="7"/>
        <v>0.01</v>
      </c>
      <c r="U10" s="1"/>
      <c r="V10" s="144">
        <f>IFERROR((T9/(J9))^(1/($T$7-$J$7))-1,"-")</f>
        <v>0.1303634074</v>
      </c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</row>
    <row r="11" ht="16.5" hidden="1" customHeight="1">
      <c r="A11" s="1"/>
      <c r="B11" s="1"/>
      <c r="C11" s="1"/>
      <c r="D11" s="11"/>
      <c r="E11" s="11"/>
      <c r="F11" s="11"/>
      <c r="G11" s="11"/>
      <c r="H11" s="11"/>
      <c r="I11" s="10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82"/>
      <c r="AF11" s="182"/>
      <c r="AG11" s="138"/>
      <c r="AH11" s="182"/>
    </row>
    <row r="12" ht="15.75" hidden="1" customHeight="1">
      <c r="A12" s="1"/>
      <c r="B12" s="1"/>
      <c r="C12" s="17"/>
      <c r="D12" s="183"/>
      <c r="E12" s="183"/>
      <c r="F12" s="183"/>
      <c r="G12" s="183"/>
      <c r="H12" s="183"/>
      <c r="I12" s="184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"/>
      <c r="V12" s="1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</row>
    <row r="13" ht="15.75" hidden="1" customHeight="1">
      <c r="A13" s="1"/>
      <c r="B13" s="1"/>
      <c r="C13" s="17"/>
      <c r="D13" s="185"/>
      <c r="E13" s="185"/>
      <c r="F13" s="185"/>
      <c r="G13" s="185"/>
      <c r="H13" s="185"/>
      <c r="I13" s="18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"/>
      <c r="V13" s="1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</row>
    <row r="14" ht="15.75" customHeight="1">
      <c r="A14" s="1"/>
      <c r="B14" s="1"/>
      <c r="C14" s="5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ht="15.75" hidden="1" customHeight="1">
      <c r="A15" s="1"/>
      <c r="B15" s="1"/>
      <c r="C15" s="17" t="s">
        <v>82</v>
      </c>
      <c r="D15" s="187">
        <v>0.0</v>
      </c>
      <c r="E15" s="187">
        <v>0.0</v>
      </c>
      <c r="F15" s="187">
        <v>0.0</v>
      </c>
      <c r="G15" s="187">
        <v>0.0</v>
      </c>
      <c r="H15" s="187">
        <v>0.0</v>
      </c>
      <c r="I15" s="184"/>
      <c r="J15" s="20">
        <f>IFERROR(H15*(1+J16),"-")</f>
        <v>0</v>
      </c>
      <c r="K15" s="20">
        <f t="shared" ref="K15:T15" si="8">IFERROR(J15*(1+K16),"-")</f>
        <v>0</v>
      </c>
      <c r="L15" s="20">
        <f t="shared" si="8"/>
        <v>0</v>
      </c>
      <c r="M15" s="20">
        <f t="shared" si="8"/>
        <v>0</v>
      </c>
      <c r="N15" s="20">
        <f t="shared" si="8"/>
        <v>0</v>
      </c>
      <c r="O15" s="20">
        <f t="shared" si="8"/>
        <v>0</v>
      </c>
      <c r="P15" s="20">
        <f t="shared" si="8"/>
        <v>0</v>
      </c>
      <c r="Q15" s="20">
        <f t="shared" si="8"/>
        <v>0</v>
      </c>
      <c r="R15" s="20">
        <f t="shared" si="8"/>
        <v>0</v>
      </c>
      <c r="S15" s="20">
        <f t="shared" si="8"/>
        <v>0</v>
      </c>
      <c r="T15" s="20">
        <f t="shared" si="8"/>
        <v>0</v>
      </c>
      <c r="U15" s="1"/>
      <c r="V15" s="1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38"/>
      <c r="AH15" s="188"/>
      <c r="AI15" s="188"/>
      <c r="AJ15" s="188"/>
      <c r="AK15" s="188"/>
      <c r="AL15" s="188"/>
      <c r="AM15" s="188"/>
      <c r="AN15" s="188"/>
      <c r="AO15" s="188"/>
      <c r="AP15" s="188"/>
    </row>
    <row r="16" ht="15.75" hidden="1" customHeight="1">
      <c r="A16" s="1"/>
      <c r="B16" s="1"/>
      <c r="C16" s="55" t="s">
        <v>83</v>
      </c>
      <c r="D16" s="189" t="str">
        <f t="shared" ref="D16:F16" si="9">IFERROR((D15/C15)-1,"-")</f>
        <v>-</v>
      </c>
      <c r="E16" s="189" t="str">
        <f t="shared" si="9"/>
        <v>-</v>
      </c>
      <c r="F16" s="189" t="str">
        <f t="shared" si="9"/>
        <v>-</v>
      </c>
      <c r="G16" s="189" t="str">
        <f t="shared" ref="G16:H16" si="10">IFERROR((G15/E15)-1,"-")</f>
        <v>-</v>
      </c>
      <c r="H16" s="189" t="str">
        <f t="shared" si="10"/>
        <v>-</v>
      </c>
      <c r="I16" s="190"/>
      <c r="J16" s="191">
        <v>0.0</v>
      </c>
      <c r="K16" s="191">
        <v>0.0</v>
      </c>
      <c r="L16" s="191">
        <v>0.0</v>
      </c>
      <c r="M16" s="191">
        <v>0.0</v>
      </c>
      <c r="N16" s="191">
        <v>0.0</v>
      </c>
      <c r="O16" s="191">
        <v>0.0</v>
      </c>
      <c r="P16" s="191">
        <v>0.0</v>
      </c>
      <c r="Q16" s="191">
        <v>0.0</v>
      </c>
      <c r="R16" s="191">
        <v>0.0</v>
      </c>
      <c r="S16" s="191">
        <v>0.0</v>
      </c>
      <c r="T16" s="191">
        <v>0.0</v>
      </c>
      <c r="U16" s="1"/>
      <c r="V16" s="1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</row>
    <row r="17" ht="15.0" hidden="1" customHeight="1">
      <c r="A17" s="1"/>
      <c r="B17" s="1"/>
      <c r="C17" s="1"/>
      <c r="D17" s="11"/>
      <c r="E17" s="11"/>
      <c r="F17" s="11"/>
      <c r="G17" s="11"/>
      <c r="H17" s="11"/>
      <c r="I17" s="10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82"/>
      <c r="AF17" s="182"/>
      <c r="AG17" s="138"/>
      <c r="AH17" s="182"/>
    </row>
    <row r="18" ht="15.0" customHeight="1">
      <c r="A18" s="1"/>
      <c r="B18" s="1"/>
      <c r="C18" s="1"/>
      <c r="D18" s="11"/>
      <c r="E18" s="11"/>
      <c r="F18" s="11"/>
      <c r="G18" s="11"/>
      <c r="H18" s="11"/>
      <c r="I18" s="10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38"/>
      <c r="AH18" s="182"/>
      <c r="AI18" s="182"/>
      <c r="AJ18" s="182"/>
      <c r="AK18" s="182"/>
      <c r="AL18" s="182"/>
      <c r="AM18" s="182"/>
      <c r="AN18" s="182"/>
      <c r="AO18" s="182"/>
      <c r="AP18" s="182"/>
    </row>
    <row r="19" ht="15.0" customHeight="1">
      <c r="A19" s="1"/>
      <c r="B19" s="1"/>
      <c r="C19" s="17" t="s">
        <v>84</v>
      </c>
      <c r="D19" s="192">
        <v>272.008</v>
      </c>
      <c r="E19" s="192">
        <v>356.965</v>
      </c>
      <c r="F19" s="192">
        <v>503.753</v>
      </c>
      <c r="G19" s="192">
        <v>642.306</v>
      </c>
      <c r="H19" s="192">
        <v>800.775</v>
      </c>
      <c r="I19" s="105"/>
      <c r="J19" s="20">
        <f>IFERROR(H19*(1+J20),"-")</f>
        <v>944.9145</v>
      </c>
      <c r="K19" s="20">
        <f t="shared" ref="K19:T19" si="11">IFERROR(J19*(1+K20),"-")</f>
        <v>1171.69398</v>
      </c>
      <c r="L19" s="20">
        <f t="shared" si="11"/>
        <v>1441.183595</v>
      </c>
      <c r="M19" s="20">
        <f t="shared" si="11"/>
        <v>1700.596643</v>
      </c>
      <c r="N19" s="20">
        <f t="shared" si="11"/>
        <v>1972.692105</v>
      </c>
      <c r="O19" s="20">
        <f t="shared" si="11"/>
        <v>2248.869</v>
      </c>
      <c r="P19" s="20">
        <f t="shared" si="11"/>
        <v>2518.73328</v>
      </c>
      <c r="Q19" s="20">
        <f t="shared" si="11"/>
        <v>2669.857277</v>
      </c>
      <c r="R19" s="20">
        <f t="shared" si="11"/>
        <v>2803.350141</v>
      </c>
      <c r="S19" s="20">
        <f t="shared" si="11"/>
        <v>2915.484146</v>
      </c>
      <c r="T19" s="20">
        <f t="shared" si="11"/>
        <v>2944.638988</v>
      </c>
      <c r="U19" s="140"/>
      <c r="V19" s="140" t="s">
        <v>58</v>
      </c>
      <c r="W19" s="136"/>
      <c r="AG19" s="138"/>
      <c r="AH19" s="136"/>
    </row>
    <row r="20" ht="15.0" customHeight="1">
      <c r="A20" s="1"/>
      <c r="B20" s="1"/>
      <c r="C20" s="1" t="s">
        <v>85</v>
      </c>
      <c r="D20" s="193" t="s">
        <v>86</v>
      </c>
      <c r="E20" s="194">
        <f t="shared" ref="E20:H20" si="12">IFERROR((E19/D19)-1,"-")</f>
        <v>0.3123327255</v>
      </c>
      <c r="F20" s="194">
        <f t="shared" si="12"/>
        <v>0.4112111832</v>
      </c>
      <c r="G20" s="194">
        <f t="shared" si="12"/>
        <v>0.2750415382</v>
      </c>
      <c r="H20" s="194">
        <f t="shared" si="12"/>
        <v>0.2467188536</v>
      </c>
      <c r="I20" s="105"/>
      <c r="J20" s="195">
        <v>0.18</v>
      </c>
      <c r="K20" s="195">
        <v>0.24</v>
      </c>
      <c r="L20" s="195">
        <v>0.23</v>
      </c>
      <c r="M20" s="195">
        <v>0.18</v>
      </c>
      <c r="N20" s="195">
        <v>0.16</v>
      </c>
      <c r="O20" s="195">
        <v>0.14</v>
      </c>
      <c r="P20" s="195">
        <v>0.12</v>
      </c>
      <c r="Q20" s="195">
        <v>0.06</v>
      </c>
      <c r="R20" s="195">
        <v>0.05</v>
      </c>
      <c r="S20" s="195">
        <v>0.04</v>
      </c>
      <c r="T20" s="195">
        <v>0.01</v>
      </c>
      <c r="U20" s="145"/>
      <c r="V20" s="144">
        <f>IFERROR((T19/(K19))^(1/($T$7-$J$7))-1,"-")</f>
        <v>0.09653320123</v>
      </c>
      <c r="W20" s="195"/>
      <c r="X20" s="196"/>
      <c r="Y20" s="195"/>
      <c r="Z20" s="195"/>
      <c r="AA20" s="195"/>
      <c r="AB20" s="195"/>
      <c r="AC20" s="195"/>
      <c r="AD20" s="195"/>
      <c r="AE20" s="195"/>
      <c r="AF20" s="195"/>
      <c r="AG20" s="138"/>
      <c r="AH20" s="195"/>
      <c r="AI20" s="196"/>
      <c r="AJ20" s="195"/>
      <c r="AK20" s="195"/>
      <c r="AL20" s="195"/>
      <c r="AM20" s="195"/>
      <c r="AN20" s="195"/>
      <c r="AO20" s="195"/>
      <c r="AP20" s="195"/>
    </row>
    <row r="21" ht="15.0" customHeight="1">
      <c r="A21" s="1"/>
      <c r="B21" s="1"/>
      <c r="C21" s="1" t="s">
        <v>87</v>
      </c>
      <c r="D21" s="194">
        <f t="shared" ref="D21:H21" si="13">D19/D$9</f>
        <v>0.8532513567</v>
      </c>
      <c r="E21" s="194">
        <f t="shared" si="13"/>
        <v>0.8389523583</v>
      </c>
      <c r="F21" s="194">
        <f t="shared" si="13"/>
        <v>0.8461544922</v>
      </c>
      <c r="G21" s="194">
        <f t="shared" si="13"/>
        <v>0.8375409932</v>
      </c>
      <c r="H21" s="194">
        <f t="shared" si="13"/>
        <v>0.8211586204</v>
      </c>
      <c r="I21" s="105"/>
      <c r="J21" s="194">
        <f t="shared" ref="J21:T21" si="14">J19/J$9</f>
        <v>0.8125382121</v>
      </c>
      <c r="K21" s="194">
        <f t="shared" si="14"/>
        <v>0.8052341492</v>
      </c>
      <c r="L21" s="194">
        <f t="shared" si="14"/>
        <v>0.7939198702</v>
      </c>
      <c r="M21" s="194">
        <f t="shared" si="14"/>
        <v>0.7802925158</v>
      </c>
      <c r="N21" s="194">
        <f t="shared" si="14"/>
        <v>0.7715247692</v>
      </c>
      <c r="O21" s="194">
        <f t="shared" si="14"/>
        <v>0.7623574121</v>
      </c>
      <c r="P21" s="194">
        <f t="shared" si="14"/>
        <v>0.7575353764</v>
      </c>
      <c r="Q21" s="194">
        <f t="shared" si="14"/>
        <v>0.7506670666</v>
      </c>
      <c r="R21" s="194">
        <f t="shared" si="14"/>
        <v>0.7453572918</v>
      </c>
      <c r="S21" s="194">
        <f t="shared" si="14"/>
        <v>0.7435367513</v>
      </c>
      <c r="T21" s="194">
        <f t="shared" si="14"/>
        <v>0.7435367513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ht="15.0" customHeight="1">
      <c r="A22" s="1"/>
      <c r="B22" s="1"/>
      <c r="C22" s="1"/>
      <c r="D22" s="197"/>
      <c r="E22" s="197"/>
      <c r="F22" s="197"/>
      <c r="G22" s="197"/>
      <c r="H22" s="197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"/>
      <c r="V22" s="1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38"/>
      <c r="AH22" s="182"/>
      <c r="AI22" s="182"/>
      <c r="AJ22" s="182"/>
      <c r="AK22" s="182"/>
      <c r="AL22" s="182"/>
      <c r="AM22" s="182"/>
      <c r="AN22" s="182"/>
      <c r="AO22" s="182"/>
      <c r="AP22" s="182"/>
    </row>
    <row r="23" ht="15.0" customHeight="1">
      <c r="A23" s="1"/>
      <c r="B23" s="1"/>
      <c r="C23" s="17" t="s">
        <v>88</v>
      </c>
      <c r="D23" s="192">
        <v>46.782</v>
      </c>
      <c r="E23" s="192">
        <v>68.524</v>
      </c>
      <c r="F23" s="192">
        <v>91.591</v>
      </c>
      <c r="G23" s="192">
        <v>124.589</v>
      </c>
      <c r="H23" s="192">
        <v>174.402</v>
      </c>
      <c r="I23" s="105"/>
      <c r="J23" s="20">
        <f>IFERROR(H23*(1+J24),"-")</f>
        <v>218.0025</v>
      </c>
      <c r="K23" s="20">
        <f t="shared" ref="K23:T23" si="15">IFERROR(J23*(1+K24),"-")</f>
        <v>283.40325</v>
      </c>
      <c r="L23" s="20">
        <f t="shared" si="15"/>
        <v>374.09229</v>
      </c>
      <c r="M23" s="20">
        <f t="shared" si="15"/>
        <v>478.8381312</v>
      </c>
      <c r="N23" s="20">
        <f t="shared" si="15"/>
        <v>584.1825201</v>
      </c>
      <c r="O23" s="20">
        <f t="shared" si="15"/>
        <v>701.0190241</v>
      </c>
      <c r="P23" s="20">
        <f t="shared" si="15"/>
        <v>806.1718777</v>
      </c>
      <c r="Q23" s="20">
        <f t="shared" si="15"/>
        <v>886.7890655</v>
      </c>
      <c r="R23" s="20">
        <f t="shared" si="15"/>
        <v>957.7321907</v>
      </c>
      <c r="S23" s="20">
        <f t="shared" si="15"/>
        <v>1005.6188</v>
      </c>
      <c r="T23" s="20">
        <f t="shared" si="15"/>
        <v>1015.674988</v>
      </c>
      <c r="U23" s="140"/>
      <c r="V23" s="140"/>
      <c r="W23" s="136"/>
      <c r="AG23" s="138"/>
      <c r="AH23" s="136"/>
    </row>
    <row r="24" ht="15.0" customHeight="1">
      <c r="A24" s="1"/>
      <c r="B24" s="1"/>
      <c r="C24" s="1" t="s">
        <v>85</v>
      </c>
      <c r="D24" s="193" t="s">
        <v>86</v>
      </c>
      <c r="E24" s="194">
        <f t="shared" ref="E24:H24" si="16">IFERROR((E23/D23)-1,"-")</f>
        <v>0.4647514001</v>
      </c>
      <c r="F24" s="194">
        <f t="shared" si="16"/>
        <v>0.3366265834</v>
      </c>
      <c r="G24" s="194">
        <f t="shared" si="16"/>
        <v>0.3602755729</v>
      </c>
      <c r="H24" s="194">
        <f t="shared" si="16"/>
        <v>0.3998186036</v>
      </c>
      <c r="I24" s="105"/>
      <c r="J24" s="195">
        <v>0.25</v>
      </c>
      <c r="K24" s="195">
        <v>0.3</v>
      </c>
      <c r="L24" s="195">
        <v>0.32</v>
      </c>
      <c r="M24" s="195">
        <v>0.28</v>
      </c>
      <c r="N24" s="195">
        <v>0.22</v>
      </c>
      <c r="O24" s="195">
        <v>0.2</v>
      </c>
      <c r="P24" s="195">
        <v>0.15</v>
      </c>
      <c r="Q24" s="195">
        <v>0.1</v>
      </c>
      <c r="R24" s="195">
        <v>0.08</v>
      </c>
      <c r="S24" s="195">
        <v>0.05</v>
      </c>
      <c r="T24" s="195">
        <v>0.01</v>
      </c>
      <c r="U24" s="145"/>
      <c r="V24" s="144">
        <f>IFERROR((T23/(K23))^(1/($T$7-$J$7))-1,"-")</f>
        <v>0.1361482219</v>
      </c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"/>
      <c r="AH24" s="195"/>
      <c r="AI24" s="195"/>
      <c r="AJ24" s="195"/>
      <c r="AK24" s="195"/>
      <c r="AL24" s="195"/>
      <c r="AM24" s="195"/>
      <c r="AN24" s="195"/>
      <c r="AO24" s="195"/>
      <c r="AP24" s="195"/>
    </row>
    <row r="25" ht="15.0" customHeight="1">
      <c r="A25" s="1"/>
      <c r="B25" s="1"/>
      <c r="C25" s="1" t="s">
        <v>87</v>
      </c>
      <c r="D25" s="194">
        <f t="shared" ref="D25:H25" si="17">D23/D$9</f>
        <v>0.1467486433</v>
      </c>
      <c r="E25" s="194">
        <f t="shared" si="17"/>
        <v>0.1610476417</v>
      </c>
      <c r="F25" s="194">
        <f t="shared" si="17"/>
        <v>0.1538455078</v>
      </c>
      <c r="G25" s="194">
        <f t="shared" si="17"/>
        <v>0.1624590068</v>
      </c>
      <c r="H25" s="194">
        <f t="shared" si="17"/>
        <v>0.1788413796</v>
      </c>
      <c r="I25" s="105"/>
      <c r="J25" s="194">
        <f t="shared" ref="J25:T25" si="18">J23/J$9</f>
        <v>0.1874617879</v>
      </c>
      <c r="K25" s="194">
        <f t="shared" si="18"/>
        <v>0.1947658508</v>
      </c>
      <c r="L25" s="194">
        <f t="shared" si="18"/>
        <v>0.2060801298</v>
      </c>
      <c r="M25" s="194">
        <f t="shared" si="18"/>
        <v>0.2197074842</v>
      </c>
      <c r="N25" s="194">
        <f t="shared" si="18"/>
        <v>0.2284752308</v>
      </c>
      <c r="O25" s="194">
        <f t="shared" si="18"/>
        <v>0.2376425879</v>
      </c>
      <c r="P25" s="194">
        <f t="shared" si="18"/>
        <v>0.2424646236</v>
      </c>
      <c r="Q25" s="194">
        <f t="shared" si="18"/>
        <v>0.2493329334</v>
      </c>
      <c r="R25" s="194">
        <f t="shared" si="18"/>
        <v>0.2546427082</v>
      </c>
      <c r="S25" s="194">
        <f t="shared" si="18"/>
        <v>0.2564632487</v>
      </c>
      <c r="T25" s="194">
        <f t="shared" si="18"/>
        <v>0.2564632487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ht="15.0" customHeight="1">
      <c r="A26" s="1"/>
      <c r="B26" s="1"/>
      <c r="C26" s="1"/>
      <c r="D26" s="199"/>
      <c r="E26" s="199"/>
      <c r="F26" s="199"/>
      <c r="G26" s="199"/>
      <c r="H26" s="199"/>
      <c r="I26" s="105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ht="15.0" customHeight="1">
      <c r="A27" s="1"/>
      <c r="B27" s="1"/>
      <c r="C27" s="1"/>
      <c r="D27" s="197"/>
      <c r="E27" s="197"/>
      <c r="F27" s="197"/>
      <c r="G27" s="197"/>
      <c r="H27" s="197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ht="15.75" customHeight="1">
      <c r="A28" s="1"/>
      <c r="B28" s="1"/>
      <c r="C28" s="1"/>
      <c r="D28" s="11"/>
      <c r="E28" s="11"/>
      <c r="F28" s="11"/>
      <c r="G28" s="11"/>
      <c r="H28" s="11"/>
      <c r="I28" s="10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ht="15.75" customHeight="1">
      <c r="A29" s="1"/>
      <c r="B29" s="40" t="s">
        <v>89</v>
      </c>
      <c r="C29" s="200"/>
      <c r="D29" s="201"/>
      <c r="E29" s="201"/>
      <c r="F29" s="201"/>
      <c r="G29" s="201"/>
      <c r="H29" s="201"/>
      <c r="I29" s="105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ht="15.75" customHeight="1">
      <c r="A30" s="1"/>
      <c r="B30" s="1"/>
      <c r="C30" s="1"/>
      <c r="D30" s="11"/>
      <c r="E30" s="11"/>
      <c r="F30" s="11"/>
      <c r="G30" s="11"/>
      <c r="H30" s="11"/>
      <c r="I30" s="10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ht="15.75" customHeight="1">
      <c r="A31" s="1" t="s">
        <v>79</v>
      </c>
      <c r="B31" s="1"/>
      <c r="C31" s="17" t="s">
        <v>90</v>
      </c>
      <c r="D31" s="202">
        <v>185.88</v>
      </c>
      <c r="E31" s="202">
        <v>263.343</v>
      </c>
      <c r="F31" s="202">
        <v>409.311</v>
      </c>
      <c r="G31" s="202">
        <v>516.023</v>
      </c>
      <c r="H31" s="202">
        <v>579.221</v>
      </c>
      <c r="I31" s="184"/>
      <c r="J31" s="20">
        <f t="shared" ref="J31:T31" si="19">IFERROR(J$9*J32,"-")</f>
        <v>681.4286518</v>
      </c>
      <c r="K31" s="20">
        <f t="shared" si="19"/>
        <v>840.9952604</v>
      </c>
      <c r="L31" s="20">
        <f t="shared" si="19"/>
        <v>1020.1215</v>
      </c>
      <c r="M31" s="20">
        <f t="shared" si="19"/>
        <v>1207.330569</v>
      </c>
      <c r="N31" s="20">
        <f t="shared" si="19"/>
        <v>1395.964037</v>
      </c>
      <c r="O31" s="20">
        <f t="shared" si="19"/>
        <v>1586.93649</v>
      </c>
      <c r="P31" s="20">
        <f t="shared" si="19"/>
        <v>1762.083339</v>
      </c>
      <c r="Q31" s="20">
        <f t="shared" si="19"/>
        <v>1856.444883</v>
      </c>
      <c r="R31" s="20">
        <f t="shared" si="19"/>
        <v>1933.064654</v>
      </c>
      <c r="S31" s="20">
        <f t="shared" si="19"/>
        <v>1983.940825</v>
      </c>
      <c r="T31" s="20">
        <f t="shared" si="19"/>
        <v>1972.097721</v>
      </c>
      <c r="U31" s="1"/>
      <c r="V31" s="1"/>
      <c r="W31" s="136"/>
      <c r="AG31" s="1"/>
      <c r="AH31" s="136"/>
    </row>
    <row r="32" ht="15.75" customHeight="1">
      <c r="A32" s="1"/>
      <c r="B32" s="1"/>
      <c r="C32" s="55" t="s">
        <v>64</v>
      </c>
      <c r="D32" s="156">
        <f t="shared" ref="D32:H32" si="20">IFERROR(D31/D9,"-")</f>
        <v>0.5830797704</v>
      </c>
      <c r="E32" s="156">
        <f t="shared" si="20"/>
        <v>0.6189184679</v>
      </c>
      <c r="F32" s="156">
        <f t="shared" si="20"/>
        <v>0.6875201564</v>
      </c>
      <c r="G32" s="156">
        <f t="shared" si="20"/>
        <v>0.6728730791</v>
      </c>
      <c r="H32" s="156">
        <f t="shared" si="20"/>
        <v>0.593964993</v>
      </c>
      <c r="I32" s="203">
        <v>0.008</v>
      </c>
      <c r="J32" s="195">
        <f>H32-$I$32</f>
        <v>0.585964993</v>
      </c>
      <c r="K32" s="195">
        <f>J32-$I$32</f>
        <v>0.577964993</v>
      </c>
      <c r="L32" s="195">
        <f>K32-$I$32*2</f>
        <v>0.561964993</v>
      </c>
      <c r="M32" s="195">
        <f t="shared" ref="M32:T32" si="21">L32-$I$32</f>
        <v>0.553964993</v>
      </c>
      <c r="N32" s="195">
        <f t="shared" si="21"/>
        <v>0.545964993</v>
      </c>
      <c r="O32" s="195">
        <f t="shared" si="21"/>
        <v>0.537964993</v>
      </c>
      <c r="P32" s="195">
        <f t="shared" si="21"/>
        <v>0.529964993</v>
      </c>
      <c r="Q32" s="195">
        <f t="shared" si="21"/>
        <v>0.521964993</v>
      </c>
      <c r="R32" s="195">
        <f t="shared" si="21"/>
        <v>0.513964993</v>
      </c>
      <c r="S32" s="195">
        <f t="shared" si="21"/>
        <v>0.505964993</v>
      </c>
      <c r="T32" s="195">
        <f t="shared" si="21"/>
        <v>0.497964993</v>
      </c>
      <c r="U32" s="83"/>
      <c r="V32" s="83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1"/>
      <c r="AH32" s="204"/>
      <c r="AI32" s="204"/>
      <c r="AJ32" s="204"/>
      <c r="AK32" s="204"/>
      <c r="AL32" s="204"/>
      <c r="AM32" s="204"/>
      <c r="AN32" s="204"/>
      <c r="AO32" s="204"/>
      <c r="AP32" s="204"/>
    </row>
    <row r="33" ht="15.75" customHeight="1">
      <c r="A33" s="1"/>
      <c r="B33" s="1"/>
      <c r="C33" s="1"/>
      <c r="D33" s="11"/>
      <c r="E33" s="11"/>
      <c r="F33" s="11"/>
      <c r="G33" s="11"/>
      <c r="H33" s="11"/>
      <c r="I33" s="10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ht="15.75" customHeight="1">
      <c r="A34" s="1"/>
      <c r="B34" s="1"/>
      <c r="C34" s="17" t="s">
        <v>91</v>
      </c>
      <c r="D34" s="202">
        <v>134.908</v>
      </c>
      <c r="E34" s="202">
        <v>186.809</v>
      </c>
      <c r="F34" s="202">
        <v>238.016</v>
      </c>
      <c r="G34" s="202">
        <v>281.318</v>
      </c>
      <c r="H34" s="202">
        <v>357.957</v>
      </c>
      <c r="I34" s="184"/>
      <c r="J34" s="20">
        <f t="shared" ref="J34:T34" si="22">IFERROR(J$9*J35,"-")</f>
        <v>426.8704867</v>
      </c>
      <c r="K34" s="20">
        <f t="shared" si="22"/>
        <v>534.8482664</v>
      </c>
      <c r="L34" s="20">
        <f t="shared" si="22"/>
        <v>668.1463215</v>
      </c>
      <c r="M34" s="20">
        <f t="shared" si="22"/>
        <v>803.2715449</v>
      </c>
      <c r="N34" s="20">
        <f t="shared" si="22"/>
        <v>943.6625156</v>
      </c>
      <c r="O34" s="20">
        <f t="shared" si="22"/>
        <v>1090.186422</v>
      </c>
      <c r="P34" s="20">
        <f t="shared" si="22"/>
        <v>1230.443487</v>
      </c>
      <c r="Q34" s="20">
        <f t="shared" si="22"/>
        <v>1317.98198</v>
      </c>
      <c r="R34" s="20">
        <f t="shared" si="22"/>
        <v>1395.62011</v>
      </c>
      <c r="S34" s="20">
        <f t="shared" si="22"/>
        <v>1456.959311</v>
      </c>
      <c r="T34" s="20">
        <f t="shared" si="22"/>
        <v>1473.509061</v>
      </c>
      <c r="U34" s="1"/>
      <c r="V34" s="1"/>
      <c r="W34" s="136"/>
      <c r="AG34" s="1"/>
      <c r="AH34" s="136"/>
    </row>
    <row r="35" ht="15.75" customHeight="1">
      <c r="A35" s="1"/>
      <c r="B35" s="1"/>
      <c r="C35" s="55" t="s">
        <v>64</v>
      </c>
      <c r="D35" s="156">
        <f t="shared" ref="D35:H35" si="23">IFERROR(D34/D9,"-")</f>
        <v>0.4231876784</v>
      </c>
      <c r="E35" s="156">
        <f t="shared" si="23"/>
        <v>0.4390454277</v>
      </c>
      <c r="F35" s="156">
        <f t="shared" si="23"/>
        <v>0.3997957483</v>
      </c>
      <c r="G35" s="156">
        <f t="shared" si="23"/>
        <v>0.366827271</v>
      </c>
      <c r="H35" s="156">
        <f t="shared" si="23"/>
        <v>0.3670687475</v>
      </c>
      <c r="I35" s="203">
        <v>5.0E-4</v>
      </c>
      <c r="J35" s="204">
        <f>H35</f>
        <v>0.3670687475</v>
      </c>
      <c r="K35" s="204">
        <f t="shared" ref="K35:T35" si="24">J35+$I$35</f>
        <v>0.3675687475</v>
      </c>
      <c r="L35" s="204">
        <f t="shared" si="24"/>
        <v>0.3680687475</v>
      </c>
      <c r="M35" s="204">
        <f t="shared" si="24"/>
        <v>0.3685687475</v>
      </c>
      <c r="N35" s="204">
        <f t="shared" si="24"/>
        <v>0.3690687475</v>
      </c>
      <c r="O35" s="204">
        <f t="shared" si="24"/>
        <v>0.3695687475</v>
      </c>
      <c r="P35" s="204">
        <f t="shared" si="24"/>
        <v>0.3700687475</v>
      </c>
      <c r="Q35" s="204">
        <f t="shared" si="24"/>
        <v>0.3705687475</v>
      </c>
      <c r="R35" s="204">
        <f t="shared" si="24"/>
        <v>0.3710687475</v>
      </c>
      <c r="S35" s="204">
        <f t="shared" si="24"/>
        <v>0.3715687475</v>
      </c>
      <c r="T35" s="204">
        <f t="shared" si="24"/>
        <v>0.3720687475</v>
      </c>
      <c r="U35" s="1"/>
      <c r="V35" s="1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1"/>
      <c r="AH35" s="204"/>
      <c r="AI35" s="204"/>
      <c r="AJ35" s="204"/>
      <c r="AK35" s="204"/>
      <c r="AL35" s="204"/>
      <c r="AM35" s="204"/>
      <c r="AN35" s="204"/>
      <c r="AO35" s="204"/>
      <c r="AP35" s="204"/>
    </row>
    <row r="36" ht="15.75" customHeight="1">
      <c r="A36" s="1"/>
      <c r="B36" s="1"/>
      <c r="C36" s="205"/>
      <c r="D36" s="184"/>
      <c r="E36" s="184"/>
      <c r="F36" s="184"/>
      <c r="G36" s="184"/>
      <c r="H36" s="184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ht="15.75" customHeight="1">
      <c r="A37" s="1"/>
      <c r="B37" s="1"/>
      <c r="C37" s="1"/>
      <c r="D37" s="11"/>
      <c r="E37" s="11"/>
      <c r="F37" s="11"/>
      <c r="G37" s="11"/>
      <c r="H37" s="11"/>
      <c r="I37" s="10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ht="15.75" customHeight="1">
      <c r="A38" s="1"/>
      <c r="B38" s="1"/>
      <c r="C38" s="207" t="s">
        <v>92</v>
      </c>
      <c r="D38" s="208">
        <f t="shared" ref="D38:H38" si="25">D31+D34</f>
        <v>320.788</v>
      </c>
      <c r="E38" s="208">
        <f t="shared" si="25"/>
        <v>450.152</v>
      </c>
      <c r="F38" s="208">
        <f t="shared" si="25"/>
        <v>647.327</v>
      </c>
      <c r="G38" s="208">
        <f t="shared" si="25"/>
        <v>797.341</v>
      </c>
      <c r="H38" s="208">
        <f t="shared" si="25"/>
        <v>937.178</v>
      </c>
      <c r="I38" s="184"/>
      <c r="J38" s="209">
        <f t="shared" ref="J38:T38" si="26">IFERROR(SUM(J31,J34,),"-")</f>
        <v>1108.299138</v>
      </c>
      <c r="K38" s="209">
        <f t="shared" si="26"/>
        <v>1375.843527</v>
      </c>
      <c r="L38" s="209">
        <f t="shared" si="26"/>
        <v>1688.267822</v>
      </c>
      <c r="M38" s="209">
        <f t="shared" si="26"/>
        <v>2010.602114</v>
      </c>
      <c r="N38" s="209">
        <f t="shared" si="26"/>
        <v>2339.626553</v>
      </c>
      <c r="O38" s="209">
        <f t="shared" si="26"/>
        <v>2677.122913</v>
      </c>
      <c r="P38" s="209">
        <f t="shared" si="26"/>
        <v>2992.526826</v>
      </c>
      <c r="Q38" s="209">
        <f t="shared" si="26"/>
        <v>3174.426864</v>
      </c>
      <c r="R38" s="209">
        <f t="shared" si="26"/>
        <v>3328.684764</v>
      </c>
      <c r="S38" s="209">
        <f t="shared" si="26"/>
        <v>3440.900136</v>
      </c>
      <c r="T38" s="209">
        <f t="shared" si="26"/>
        <v>3445.606782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ht="15.75" customHeight="1">
      <c r="A39" s="1"/>
      <c r="B39" s="1"/>
      <c r="C39" s="1"/>
      <c r="D39" s="11"/>
      <c r="E39" s="11"/>
      <c r="F39" s="11"/>
      <c r="G39" s="11"/>
      <c r="H39" s="11"/>
      <c r="I39" s="10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ht="15.75" customHeight="1">
      <c r="A40" s="1"/>
      <c r="B40" s="1"/>
      <c r="C40" s="210" t="s">
        <v>93</v>
      </c>
      <c r="D40" s="211">
        <v>21.1</v>
      </c>
      <c r="E40" s="211">
        <v>30.5</v>
      </c>
      <c r="F40" s="211">
        <v>34.555</v>
      </c>
      <c r="G40" s="211">
        <v>58.517</v>
      </c>
      <c r="H40" s="211">
        <v>73.615</v>
      </c>
      <c r="I40" s="184"/>
      <c r="J40" s="184">
        <f t="shared" ref="J40:T40" si="27">IFERROR(J9*J41,"-")</f>
        <v>83.36048288</v>
      </c>
      <c r="K40" s="184">
        <f t="shared" si="27"/>
        <v>104.3046131</v>
      </c>
      <c r="L40" s="184">
        <f t="shared" si="27"/>
        <v>130.123022</v>
      </c>
      <c r="M40" s="184">
        <f t="shared" si="27"/>
        <v>156.2267429</v>
      </c>
      <c r="N40" s="184">
        <f t="shared" si="27"/>
        <v>183.2824728</v>
      </c>
      <c r="O40" s="184">
        <f t="shared" si="27"/>
        <v>211.4545493</v>
      </c>
      <c r="P40" s="184">
        <f t="shared" si="27"/>
        <v>238.3366134</v>
      </c>
      <c r="Q40" s="184">
        <f t="shared" si="27"/>
        <v>254.9483381</v>
      </c>
      <c r="R40" s="184">
        <f t="shared" si="27"/>
        <v>269.6027655</v>
      </c>
      <c r="S40" s="184">
        <f t="shared" si="27"/>
        <v>281.0734</v>
      </c>
      <c r="T40" s="184">
        <f t="shared" si="27"/>
        <v>283.884134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ht="15.75" customHeight="1">
      <c r="A41" s="1"/>
      <c r="B41" s="1"/>
      <c r="C41" s="55" t="s">
        <v>64</v>
      </c>
      <c r="D41" s="156">
        <f t="shared" ref="D41:H41" si="28">IFERROR(D40/D9,"-")</f>
        <v>0.06618777251</v>
      </c>
      <c r="E41" s="156">
        <f t="shared" si="28"/>
        <v>0.07168222915</v>
      </c>
      <c r="F41" s="156">
        <f t="shared" si="28"/>
        <v>0.05804207315</v>
      </c>
      <c r="G41" s="156">
        <f t="shared" si="28"/>
        <v>0.07630379648</v>
      </c>
      <c r="H41" s="156">
        <f t="shared" si="28"/>
        <v>0.07548885997</v>
      </c>
      <c r="I41" s="206"/>
      <c r="J41" s="206">
        <f t="shared" ref="J41:T41" si="29">MEDIAN($D41:$H41)</f>
        <v>0.07168222915</v>
      </c>
      <c r="K41" s="206">
        <f t="shared" si="29"/>
        <v>0.07168222915</v>
      </c>
      <c r="L41" s="206">
        <f t="shared" si="29"/>
        <v>0.07168222915</v>
      </c>
      <c r="M41" s="206">
        <f t="shared" si="29"/>
        <v>0.07168222915</v>
      </c>
      <c r="N41" s="206">
        <f t="shared" si="29"/>
        <v>0.07168222915</v>
      </c>
      <c r="O41" s="206">
        <f t="shared" si="29"/>
        <v>0.07168222915</v>
      </c>
      <c r="P41" s="206">
        <f t="shared" si="29"/>
        <v>0.07168222915</v>
      </c>
      <c r="Q41" s="206">
        <f t="shared" si="29"/>
        <v>0.07168222915</v>
      </c>
      <c r="R41" s="206">
        <f t="shared" si="29"/>
        <v>0.07168222915</v>
      </c>
      <c r="S41" s="206">
        <f t="shared" si="29"/>
        <v>0.07168222915</v>
      </c>
      <c r="T41" s="206">
        <f t="shared" si="29"/>
        <v>0.07168222915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ht="15.75" customHeight="1">
      <c r="A42" s="1"/>
      <c r="B42" s="1"/>
      <c r="C42" s="1"/>
      <c r="D42" s="11"/>
      <c r="E42" s="11"/>
      <c r="F42" s="11"/>
      <c r="G42" s="11"/>
      <c r="H42" s="11"/>
      <c r="I42" s="10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ht="15.75" customHeight="1">
      <c r="A43" s="1"/>
      <c r="B43" s="17" t="s">
        <v>63</v>
      </c>
      <c r="C43" s="1"/>
      <c r="D43" s="20">
        <f t="shared" ref="D43:H43" si="30">D9-D38+D40</f>
        <v>19.102</v>
      </c>
      <c r="E43" s="20">
        <f t="shared" si="30"/>
        <v>5.837</v>
      </c>
      <c r="F43" s="20">
        <f t="shared" si="30"/>
        <v>-17.428</v>
      </c>
      <c r="G43" s="20">
        <f t="shared" si="30"/>
        <v>28.071</v>
      </c>
      <c r="H43" s="20">
        <f t="shared" si="30"/>
        <v>111.614</v>
      </c>
      <c r="I43" s="184"/>
      <c r="J43" s="20">
        <f t="shared" ref="J43:T43" si="31">IFERROR(J9-J38+J40,"-")</f>
        <v>137.9783444</v>
      </c>
      <c r="K43" s="20">
        <f t="shared" si="31"/>
        <v>183.5583163</v>
      </c>
      <c r="L43" s="20">
        <f t="shared" si="31"/>
        <v>257.1310856</v>
      </c>
      <c r="M43" s="20">
        <f t="shared" si="31"/>
        <v>325.0594025</v>
      </c>
      <c r="N43" s="20">
        <f t="shared" si="31"/>
        <v>400.5305456</v>
      </c>
      <c r="O43" s="20">
        <f t="shared" si="31"/>
        <v>484.2196607</v>
      </c>
      <c r="P43" s="20">
        <f t="shared" si="31"/>
        <v>570.7149451</v>
      </c>
      <c r="Q43" s="20">
        <f t="shared" si="31"/>
        <v>637.1678168</v>
      </c>
      <c r="R43" s="20">
        <f t="shared" si="31"/>
        <v>702.0003327</v>
      </c>
      <c r="S43" s="20">
        <f t="shared" si="31"/>
        <v>761.2762108</v>
      </c>
      <c r="T43" s="20">
        <f t="shared" si="31"/>
        <v>798.5913277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ht="15.75" customHeight="1">
      <c r="A44" s="1"/>
      <c r="B44" s="1"/>
      <c r="C44" s="55" t="s">
        <v>62</v>
      </c>
      <c r="D44" s="194" t="str">
        <f t="shared" ref="D44:H44" si="32">IFERROR((D43/C43)-1,"-")</f>
        <v>-</v>
      </c>
      <c r="E44" s="194">
        <f t="shared" si="32"/>
        <v>-0.6944299026</v>
      </c>
      <c r="F44" s="194">
        <f t="shared" si="32"/>
        <v>-3.985780367</v>
      </c>
      <c r="G44" s="194">
        <f t="shared" si="32"/>
        <v>-2.610683957</v>
      </c>
      <c r="H44" s="194">
        <f t="shared" si="32"/>
        <v>2.976131951</v>
      </c>
      <c r="I44" s="181"/>
      <c r="J44" s="194">
        <f>IFERROR((J43/H43)-1,"-")</f>
        <v>0.2362100134</v>
      </c>
      <c r="K44" s="194">
        <f t="shared" ref="K44:T44" si="33">IFERROR((K43/J43)-1,"-")</f>
        <v>0.3303414902</v>
      </c>
      <c r="L44" s="194">
        <f t="shared" si="33"/>
        <v>0.4008141429</v>
      </c>
      <c r="M44" s="194">
        <f t="shared" si="33"/>
        <v>0.2641777707</v>
      </c>
      <c r="N44" s="194">
        <f t="shared" si="33"/>
        <v>0.2321764654</v>
      </c>
      <c r="O44" s="194">
        <f t="shared" si="33"/>
        <v>0.2089456497</v>
      </c>
      <c r="P44" s="194">
        <f t="shared" si="33"/>
        <v>0.1786281958</v>
      </c>
      <c r="Q44" s="194">
        <f t="shared" si="33"/>
        <v>0.1164379384</v>
      </c>
      <c r="R44" s="194">
        <f t="shared" si="33"/>
        <v>0.1017510838</v>
      </c>
      <c r="S44" s="194">
        <f t="shared" si="33"/>
        <v>0.08443853273</v>
      </c>
      <c r="T44" s="194">
        <f t="shared" si="33"/>
        <v>0.0490165283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ht="15.75" customHeight="1">
      <c r="A45" s="1"/>
      <c r="B45" s="1"/>
      <c r="C45" s="55" t="s">
        <v>94</v>
      </c>
      <c r="D45" s="156">
        <f>IFERROR(D43/E9,"-")</f>
        <v>0.04489422758</v>
      </c>
      <c r="E45" s="156">
        <f t="shared" ref="E45:H45" si="34">IFERROR(E43/E9,"-")</f>
        <v>0.01371833349</v>
      </c>
      <c r="F45" s="156">
        <f t="shared" si="34"/>
        <v>-0.0292738316</v>
      </c>
      <c r="G45" s="156">
        <f t="shared" si="34"/>
        <v>0.03660344636</v>
      </c>
      <c r="H45" s="156">
        <f t="shared" si="34"/>
        <v>0.1144551194</v>
      </c>
      <c r="I45" s="212"/>
      <c r="J45" s="156">
        <f t="shared" ref="J45:T45" si="35">IFERROR(J43/J9,"-")</f>
        <v>0.1186484886</v>
      </c>
      <c r="K45" s="156">
        <f t="shared" si="35"/>
        <v>0.1261484886</v>
      </c>
      <c r="L45" s="156">
        <f t="shared" si="35"/>
        <v>0.1416484886</v>
      </c>
      <c r="M45" s="156">
        <f t="shared" si="35"/>
        <v>0.1491484886</v>
      </c>
      <c r="N45" s="156">
        <f t="shared" si="35"/>
        <v>0.1566484886</v>
      </c>
      <c r="O45" s="156">
        <f t="shared" si="35"/>
        <v>0.1641484886</v>
      </c>
      <c r="P45" s="156">
        <f t="shared" si="35"/>
        <v>0.1716484886</v>
      </c>
      <c r="Q45" s="156">
        <f t="shared" si="35"/>
        <v>0.1791484886</v>
      </c>
      <c r="R45" s="156">
        <f t="shared" si="35"/>
        <v>0.1866484886</v>
      </c>
      <c r="S45" s="156">
        <f t="shared" si="35"/>
        <v>0.1941484886</v>
      </c>
      <c r="T45" s="156">
        <f t="shared" si="35"/>
        <v>0.2016484886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ht="15.75" customHeight="1">
      <c r="A46" s="1"/>
      <c r="B46" s="1"/>
      <c r="C46" s="1"/>
      <c r="D46" s="11"/>
      <c r="E46" s="11"/>
      <c r="F46" s="11"/>
      <c r="G46" s="11"/>
      <c r="H46" s="11"/>
      <c r="I46" s="10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ht="15.75" customHeight="1">
      <c r="A47" s="1"/>
      <c r="B47" s="1"/>
      <c r="C47" s="17" t="s">
        <v>65</v>
      </c>
      <c r="D47" s="20">
        <f t="shared" ref="D47:H47" si="36">D40</f>
        <v>21.1</v>
      </c>
      <c r="E47" s="20">
        <f t="shared" si="36"/>
        <v>30.5</v>
      </c>
      <c r="F47" s="20">
        <f t="shared" si="36"/>
        <v>34.555</v>
      </c>
      <c r="G47" s="20">
        <f t="shared" si="36"/>
        <v>58.517</v>
      </c>
      <c r="H47" s="20">
        <f t="shared" si="36"/>
        <v>73.615</v>
      </c>
      <c r="I47" s="184"/>
      <c r="J47" s="20">
        <f t="shared" ref="J47:T47" si="37">J40</f>
        <v>83.36048288</v>
      </c>
      <c r="K47" s="20">
        <f t="shared" si="37"/>
        <v>104.3046131</v>
      </c>
      <c r="L47" s="20">
        <f t="shared" si="37"/>
        <v>130.123022</v>
      </c>
      <c r="M47" s="20">
        <f t="shared" si="37"/>
        <v>156.2267429</v>
      </c>
      <c r="N47" s="20">
        <f t="shared" si="37"/>
        <v>183.2824728</v>
      </c>
      <c r="O47" s="20">
        <f t="shared" si="37"/>
        <v>211.4545493</v>
      </c>
      <c r="P47" s="20">
        <f t="shared" si="37"/>
        <v>238.3366134</v>
      </c>
      <c r="Q47" s="20">
        <f t="shared" si="37"/>
        <v>254.9483381</v>
      </c>
      <c r="R47" s="20">
        <f t="shared" si="37"/>
        <v>269.6027655</v>
      </c>
      <c r="S47" s="20">
        <f t="shared" si="37"/>
        <v>281.0734</v>
      </c>
      <c r="T47" s="20">
        <f t="shared" si="37"/>
        <v>283.884134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ht="15.75" customHeight="1">
      <c r="A48" s="1"/>
      <c r="B48" s="1"/>
      <c r="C48" s="1"/>
      <c r="D48" s="11"/>
      <c r="E48" s="11"/>
      <c r="F48" s="11"/>
      <c r="G48" s="11"/>
      <c r="H48" s="11"/>
      <c r="I48" s="10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ht="15.75" customHeight="1">
      <c r="A49" s="1"/>
      <c r="B49" s="17" t="s">
        <v>95</v>
      </c>
      <c r="C49" s="1"/>
      <c r="D49" s="20">
        <f t="shared" ref="D49:H49" si="38">D43-D47</f>
        <v>-1.998</v>
      </c>
      <c r="E49" s="20">
        <f t="shared" si="38"/>
        <v>-24.663</v>
      </c>
      <c r="F49" s="20">
        <f t="shared" si="38"/>
        <v>-51.983</v>
      </c>
      <c r="G49" s="20">
        <f t="shared" si="38"/>
        <v>-30.446</v>
      </c>
      <c r="H49" s="20">
        <f t="shared" si="38"/>
        <v>37.999</v>
      </c>
      <c r="I49" s="184"/>
      <c r="J49" s="20">
        <f t="shared" ref="J49:T49" si="39">IFERROR(J43-J47,"-")</f>
        <v>54.61786155</v>
      </c>
      <c r="K49" s="20">
        <f t="shared" si="39"/>
        <v>79.25370327</v>
      </c>
      <c r="L49" s="20">
        <f t="shared" si="39"/>
        <v>127.0080636</v>
      </c>
      <c r="M49" s="20">
        <f t="shared" si="39"/>
        <v>168.8326597</v>
      </c>
      <c r="N49" s="20">
        <f t="shared" si="39"/>
        <v>217.2480728</v>
      </c>
      <c r="O49" s="20">
        <f t="shared" si="39"/>
        <v>272.7651114</v>
      </c>
      <c r="P49" s="20">
        <f t="shared" si="39"/>
        <v>332.3783317</v>
      </c>
      <c r="Q49" s="20">
        <f t="shared" si="39"/>
        <v>382.2194786</v>
      </c>
      <c r="R49" s="20">
        <f t="shared" si="39"/>
        <v>432.3975672</v>
      </c>
      <c r="S49" s="20">
        <f t="shared" si="39"/>
        <v>480.2028108</v>
      </c>
      <c r="T49" s="20">
        <f t="shared" si="39"/>
        <v>514.7071938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ht="15.75" customHeight="1">
      <c r="A50" s="1"/>
      <c r="B50" s="1"/>
      <c r="C50" s="55" t="s">
        <v>62</v>
      </c>
      <c r="D50" s="194" t="str">
        <f t="shared" ref="D50:H50" si="40">IFERROR((D49/C49)-1,"-")</f>
        <v>-</v>
      </c>
      <c r="E50" s="194">
        <f t="shared" si="40"/>
        <v>11.34384384</v>
      </c>
      <c r="F50" s="194">
        <f t="shared" si="40"/>
        <v>1.10773223</v>
      </c>
      <c r="G50" s="194">
        <f t="shared" si="40"/>
        <v>-0.4143085239</v>
      </c>
      <c r="H50" s="194">
        <f t="shared" si="40"/>
        <v>-2.248078565</v>
      </c>
      <c r="I50" s="181"/>
      <c r="J50" s="194">
        <f>IFERROR((J49/H49)-1,"-")</f>
        <v>0.4373499711</v>
      </c>
      <c r="K50" s="194">
        <f t="shared" ref="K50:T50" si="41">IFERROR((K49/J49)-1,"-")</f>
        <v>0.4510583354</v>
      </c>
      <c r="L50" s="194">
        <f t="shared" si="41"/>
        <v>0.6025505226</v>
      </c>
      <c r="M50" s="194">
        <f t="shared" si="41"/>
        <v>0.3293066195</v>
      </c>
      <c r="N50" s="194">
        <f t="shared" si="41"/>
        <v>0.2867656843</v>
      </c>
      <c r="O50" s="194">
        <f t="shared" si="41"/>
        <v>0.2555467483</v>
      </c>
      <c r="P50" s="194">
        <f t="shared" si="41"/>
        <v>0.2185514854</v>
      </c>
      <c r="Q50" s="194">
        <f t="shared" si="41"/>
        <v>0.1499530571</v>
      </c>
      <c r="R50" s="194">
        <f t="shared" si="41"/>
        <v>0.1312808251</v>
      </c>
      <c r="S50" s="194">
        <f t="shared" si="41"/>
        <v>0.1105585399</v>
      </c>
      <c r="T50" s="194">
        <f t="shared" si="41"/>
        <v>0.07185377126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ht="15.75" customHeight="1">
      <c r="A51" s="1"/>
      <c r="B51" s="1"/>
      <c r="C51" s="55" t="s">
        <v>67</v>
      </c>
      <c r="D51" s="156">
        <f t="shared" ref="D51:H51" si="42">D49/D9</f>
        <v>-0.006267448791</v>
      </c>
      <c r="E51" s="156">
        <f t="shared" si="42"/>
        <v>-0.05796389566</v>
      </c>
      <c r="F51" s="156">
        <f t="shared" si="42"/>
        <v>-0.08731590475</v>
      </c>
      <c r="G51" s="156">
        <f t="shared" si="42"/>
        <v>-0.03970035011</v>
      </c>
      <c r="H51" s="156">
        <f t="shared" si="42"/>
        <v>0.03896625946</v>
      </c>
      <c r="I51" s="212"/>
      <c r="J51" s="156">
        <f t="shared" ref="J51:T51" si="43">IFERROR(J49/J9,"-")</f>
        <v>0.04696625946</v>
      </c>
      <c r="K51" s="156">
        <f t="shared" si="43"/>
        <v>0.05446625946</v>
      </c>
      <c r="L51" s="156">
        <f t="shared" si="43"/>
        <v>0.06996625946</v>
      </c>
      <c r="M51" s="156">
        <f t="shared" si="43"/>
        <v>0.07746625946</v>
      </c>
      <c r="N51" s="156">
        <f t="shared" si="43"/>
        <v>0.08496625946</v>
      </c>
      <c r="O51" s="156">
        <f t="shared" si="43"/>
        <v>0.09246625946</v>
      </c>
      <c r="P51" s="156">
        <f t="shared" si="43"/>
        <v>0.09996625946</v>
      </c>
      <c r="Q51" s="156">
        <f t="shared" si="43"/>
        <v>0.1074662595</v>
      </c>
      <c r="R51" s="156">
        <f t="shared" si="43"/>
        <v>0.1149662595</v>
      </c>
      <c r="S51" s="156">
        <f t="shared" si="43"/>
        <v>0.1224662595</v>
      </c>
      <c r="T51" s="156">
        <f t="shared" si="43"/>
        <v>0.1299662595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ht="15.75" customHeight="1">
      <c r="A52" s="1"/>
      <c r="B52" s="1"/>
      <c r="C52" s="1"/>
      <c r="D52" s="11"/>
      <c r="E52" s="11"/>
      <c r="F52" s="11"/>
      <c r="G52" s="11"/>
      <c r="H52" s="11"/>
      <c r="I52" s="10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ht="15.75" customHeight="1">
      <c r="A53" s="1"/>
      <c r="B53" s="17" t="s">
        <v>96</v>
      </c>
      <c r="C53" s="1"/>
      <c r="D53" s="213">
        <v>-1.125</v>
      </c>
      <c r="E53" s="213">
        <v>-2.869</v>
      </c>
      <c r="F53" s="213">
        <v>-3.498</v>
      </c>
      <c r="G53" s="213">
        <v>-1.068</v>
      </c>
      <c r="H53" s="213">
        <v>9.524</v>
      </c>
      <c r="I53" s="214"/>
      <c r="J53" s="148">
        <f t="shared" ref="J53:T53" si="44">J9*J54</f>
        <v>-3.074771909</v>
      </c>
      <c r="K53" s="148">
        <f t="shared" si="44"/>
        <v>-3.847301302</v>
      </c>
      <c r="L53" s="148">
        <f t="shared" si="44"/>
        <v>-4.799619664</v>
      </c>
      <c r="M53" s="148">
        <f t="shared" si="44"/>
        <v>-5.762461827</v>
      </c>
      <c r="N53" s="148">
        <f t="shared" si="44"/>
        <v>-6.760419079</v>
      </c>
      <c r="O53" s="148">
        <f t="shared" si="44"/>
        <v>-7.799553049</v>
      </c>
      <c r="P53" s="148">
        <f t="shared" si="44"/>
        <v>-8.791104594</v>
      </c>
      <c r="Q53" s="148">
        <f t="shared" si="44"/>
        <v>-9.403832144</v>
      </c>
      <c r="R53" s="148">
        <f t="shared" si="44"/>
        <v>-9.944364303</v>
      </c>
      <c r="S53" s="148">
        <f t="shared" si="44"/>
        <v>-10.36746147</v>
      </c>
      <c r="T53" s="148">
        <f t="shared" si="44"/>
        <v>-10.47113609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ht="15.75" customHeight="1">
      <c r="A54" s="1"/>
      <c r="B54" s="1"/>
      <c r="C54" s="55" t="s">
        <v>87</v>
      </c>
      <c r="D54" s="156">
        <f>IFERROR(D53/E9,"-")</f>
        <v>-0.002644016649</v>
      </c>
      <c r="E54" s="156">
        <f t="shared" ref="E54:H54" si="45">IFERROR(E53/E9,"-")</f>
        <v>-0.006742830014</v>
      </c>
      <c r="F54" s="156">
        <f t="shared" si="45"/>
        <v>-0.005875594614</v>
      </c>
      <c r="G54" s="156">
        <f t="shared" si="45"/>
        <v>-0.001392628717</v>
      </c>
      <c r="H54" s="156">
        <f t="shared" si="45"/>
        <v>0.009766432145</v>
      </c>
      <c r="I54" s="206"/>
      <c r="J54" s="204">
        <f>MEDIAN($D54:$H54)</f>
        <v>-0.002644016649</v>
      </c>
      <c r="K54" s="204">
        <f t="shared" ref="K54:T54" si="46">J54</f>
        <v>-0.002644016649</v>
      </c>
      <c r="L54" s="204">
        <f t="shared" si="46"/>
        <v>-0.002644016649</v>
      </c>
      <c r="M54" s="204">
        <f t="shared" si="46"/>
        <v>-0.002644016649</v>
      </c>
      <c r="N54" s="204">
        <f t="shared" si="46"/>
        <v>-0.002644016649</v>
      </c>
      <c r="O54" s="204">
        <f t="shared" si="46"/>
        <v>-0.002644016649</v>
      </c>
      <c r="P54" s="204">
        <f t="shared" si="46"/>
        <v>-0.002644016649</v>
      </c>
      <c r="Q54" s="204">
        <f t="shared" si="46"/>
        <v>-0.002644016649</v>
      </c>
      <c r="R54" s="204">
        <f t="shared" si="46"/>
        <v>-0.002644016649</v>
      </c>
      <c r="S54" s="204">
        <f t="shared" si="46"/>
        <v>-0.002644016649</v>
      </c>
      <c r="T54" s="204">
        <f t="shared" si="46"/>
        <v>-0.002644016649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ht="15.75" customHeight="1">
      <c r="A55" s="1"/>
      <c r="B55" s="1"/>
      <c r="C55" s="55"/>
      <c r="D55" s="26"/>
      <c r="E55" s="26"/>
      <c r="F55" s="26"/>
      <c r="G55" s="26"/>
      <c r="H55" s="26"/>
      <c r="I55" s="206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ht="15.75" customHeight="1">
      <c r="A56" s="1"/>
      <c r="B56" s="1"/>
      <c r="C56" s="1"/>
      <c r="D56" s="11"/>
      <c r="E56" s="11"/>
      <c r="F56" s="11"/>
      <c r="G56" s="11"/>
      <c r="H56" s="11"/>
      <c r="I56" s="10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ht="15.75" customHeight="1">
      <c r="A57" s="1"/>
      <c r="B57" s="207" t="s">
        <v>97</v>
      </c>
      <c r="C57" s="151"/>
      <c r="D57" s="209">
        <f t="shared" ref="D57:H57" si="47">D49+D53</f>
        <v>-3.123</v>
      </c>
      <c r="E57" s="209">
        <f t="shared" si="47"/>
        <v>-27.532</v>
      </c>
      <c r="F57" s="209">
        <f t="shared" si="47"/>
        <v>-55.481</v>
      </c>
      <c r="G57" s="209">
        <f t="shared" si="47"/>
        <v>-31.514</v>
      </c>
      <c r="H57" s="209">
        <f t="shared" si="47"/>
        <v>47.523</v>
      </c>
      <c r="I57" s="184"/>
      <c r="J57" s="209">
        <f t="shared" ref="J57:T57" si="48">IFERROR(J49-J53,"-")</f>
        <v>57.69263346</v>
      </c>
      <c r="K57" s="209">
        <f t="shared" si="48"/>
        <v>83.10100457</v>
      </c>
      <c r="L57" s="209">
        <f t="shared" si="48"/>
        <v>131.8076833</v>
      </c>
      <c r="M57" s="209">
        <f t="shared" si="48"/>
        <v>174.5951215</v>
      </c>
      <c r="N57" s="209">
        <f t="shared" si="48"/>
        <v>224.0084919</v>
      </c>
      <c r="O57" s="209">
        <f t="shared" si="48"/>
        <v>280.5646645</v>
      </c>
      <c r="P57" s="209">
        <f t="shared" si="48"/>
        <v>341.1694363</v>
      </c>
      <c r="Q57" s="209">
        <f t="shared" si="48"/>
        <v>391.6233108</v>
      </c>
      <c r="R57" s="209">
        <f t="shared" si="48"/>
        <v>442.3419315</v>
      </c>
      <c r="S57" s="209">
        <f t="shared" si="48"/>
        <v>490.5702723</v>
      </c>
      <c r="T57" s="209">
        <f t="shared" si="48"/>
        <v>525.1783298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ht="15.75" customHeight="1">
      <c r="A58" s="1"/>
      <c r="B58" s="1"/>
      <c r="C58" s="1"/>
      <c r="D58" s="11"/>
      <c r="E58" s="11"/>
      <c r="F58" s="11"/>
      <c r="G58" s="11"/>
      <c r="H58" s="11"/>
      <c r="I58" s="10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ht="15.75" customHeight="1">
      <c r="A59" s="1"/>
      <c r="B59" s="17" t="s">
        <v>98</v>
      </c>
      <c r="C59" s="1"/>
      <c r="D59" s="216">
        <v>0.065</v>
      </c>
      <c r="E59" s="216">
        <v>0.162</v>
      </c>
      <c r="F59" s="216">
        <v>0.282</v>
      </c>
      <c r="G59" s="216">
        <v>0.21</v>
      </c>
      <c r="H59" s="216">
        <v>0.598</v>
      </c>
      <c r="I59" s="184"/>
      <c r="J59" s="20">
        <f t="shared" ref="J59:T59" si="49">IFERROR(J57*J60,"-")</f>
        <v>0.8653895019</v>
      </c>
      <c r="K59" s="20">
        <f t="shared" si="49"/>
        <v>1.246515069</v>
      </c>
      <c r="L59" s="20">
        <f t="shared" si="49"/>
        <v>1.977115249</v>
      </c>
      <c r="M59" s="20">
        <f t="shared" si="49"/>
        <v>2.618926822</v>
      </c>
      <c r="N59" s="20">
        <f t="shared" si="49"/>
        <v>33.60127379</v>
      </c>
      <c r="O59" s="20">
        <f t="shared" si="49"/>
        <v>42.08469967</v>
      </c>
      <c r="P59" s="20">
        <f t="shared" si="49"/>
        <v>51.17541544</v>
      </c>
      <c r="Q59" s="20">
        <f t="shared" si="49"/>
        <v>58.74349662</v>
      </c>
      <c r="R59" s="20">
        <f t="shared" si="49"/>
        <v>66.35128972</v>
      </c>
      <c r="S59" s="20">
        <f t="shared" si="49"/>
        <v>103.0197572</v>
      </c>
      <c r="T59" s="20">
        <f t="shared" si="49"/>
        <v>110.2874493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ht="15.75" customHeight="1">
      <c r="A60" s="1"/>
      <c r="B60" s="17" t="s">
        <v>99</v>
      </c>
      <c r="C60" s="1"/>
      <c r="D60" s="26">
        <f t="shared" ref="D60:H60" si="50">IFERROR(D59/D57,"-")</f>
        <v>-0.02081332053</v>
      </c>
      <c r="E60" s="26">
        <f t="shared" si="50"/>
        <v>-0.005884062182</v>
      </c>
      <c r="F60" s="26">
        <f t="shared" si="50"/>
        <v>-0.005082821146</v>
      </c>
      <c r="G60" s="26">
        <f t="shared" si="50"/>
        <v>-0.00666370502</v>
      </c>
      <c r="H60" s="26">
        <f t="shared" si="50"/>
        <v>0.01258338068</v>
      </c>
      <c r="I60" s="217"/>
      <c r="J60" s="218">
        <v>0.015</v>
      </c>
      <c r="K60" s="218">
        <f t="shared" ref="K60:M60" si="51">J60</f>
        <v>0.015</v>
      </c>
      <c r="L60" s="218">
        <f t="shared" si="51"/>
        <v>0.015</v>
      </c>
      <c r="M60" s="218">
        <f t="shared" si="51"/>
        <v>0.015</v>
      </c>
      <c r="N60" s="218">
        <v>0.15</v>
      </c>
      <c r="O60" s="218">
        <v>0.15</v>
      </c>
      <c r="P60" s="218">
        <f t="shared" ref="P60:R60" si="52">O60</f>
        <v>0.15</v>
      </c>
      <c r="Q60" s="218">
        <f t="shared" si="52"/>
        <v>0.15</v>
      </c>
      <c r="R60" s="218">
        <f t="shared" si="52"/>
        <v>0.15</v>
      </c>
      <c r="S60" s="218">
        <v>0.21</v>
      </c>
      <c r="T60" s="218">
        <f>S60</f>
        <v>0.21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ht="15.75" customHeight="1">
      <c r="A61" s="1"/>
      <c r="B61" s="1"/>
      <c r="C61" s="1"/>
      <c r="D61" s="11"/>
      <c r="E61" s="11"/>
      <c r="F61" s="11"/>
      <c r="G61" s="11"/>
      <c r="H61" s="11"/>
      <c r="I61" s="10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ht="15.75" customHeight="1">
      <c r="A62" s="1"/>
      <c r="B62" s="219" t="s">
        <v>100</v>
      </c>
      <c r="C62" s="51"/>
      <c r="D62" s="220">
        <f t="shared" ref="D62:H62" si="53">D57-D59</f>
        <v>-3.188</v>
      </c>
      <c r="E62" s="220">
        <f t="shared" si="53"/>
        <v>-27.694</v>
      </c>
      <c r="F62" s="220">
        <f t="shared" si="53"/>
        <v>-55.763</v>
      </c>
      <c r="G62" s="220">
        <f t="shared" si="53"/>
        <v>-31.724</v>
      </c>
      <c r="H62" s="220">
        <f t="shared" si="53"/>
        <v>46.925</v>
      </c>
      <c r="I62" s="221"/>
      <c r="J62" s="222">
        <f t="shared" ref="J62:T62" si="54">IFERROR(J57-J59,"-")</f>
        <v>56.82724396</v>
      </c>
      <c r="K62" s="222">
        <f t="shared" si="54"/>
        <v>81.8544895</v>
      </c>
      <c r="L62" s="222">
        <f t="shared" si="54"/>
        <v>129.830568</v>
      </c>
      <c r="M62" s="222">
        <f t="shared" si="54"/>
        <v>171.9761947</v>
      </c>
      <c r="N62" s="222">
        <f t="shared" si="54"/>
        <v>190.4072181</v>
      </c>
      <c r="O62" s="222">
        <f t="shared" si="54"/>
        <v>238.4799648</v>
      </c>
      <c r="P62" s="222">
        <f t="shared" si="54"/>
        <v>289.9940208</v>
      </c>
      <c r="Q62" s="222">
        <f t="shared" si="54"/>
        <v>332.8798142</v>
      </c>
      <c r="R62" s="222">
        <f t="shared" si="54"/>
        <v>375.9906418</v>
      </c>
      <c r="S62" s="222">
        <f t="shared" si="54"/>
        <v>387.5505151</v>
      </c>
      <c r="T62" s="222">
        <f t="shared" si="54"/>
        <v>414.8908806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ht="15.75" customHeight="1">
      <c r="A63" s="1" t="s">
        <v>79</v>
      </c>
      <c r="B63" s="1"/>
      <c r="C63" s="1"/>
      <c r="D63" s="11"/>
      <c r="E63" s="11"/>
      <c r="F63" s="11"/>
      <c r="G63" s="11"/>
      <c r="H63" s="11"/>
      <c r="I63" s="10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ht="15.75" customHeight="1">
      <c r="A64" s="1"/>
      <c r="B64" s="17"/>
      <c r="C64" s="1"/>
      <c r="D64" s="11"/>
      <c r="E64" s="11"/>
      <c r="F64" s="11"/>
      <c r="G64" s="11"/>
      <c r="H64" s="11"/>
      <c r="I64" s="10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ht="15.75" customHeight="1">
      <c r="A65" s="1"/>
      <c r="B65" s="40" t="s">
        <v>101</v>
      </c>
      <c r="C65" s="200"/>
      <c r="D65" s="201"/>
      <c r="E65" s="201"/>
      <c r="F65" s="201"/>
      <c r="G65" s="201"/>
      <c r="H65" s="201"/>
      <c r="I65" s="105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ht="15.75" customHeight="1">
      <c r="A66" s="1"/>
      <c r="B66" s="1"/>
      <c r="C66" s="1"/>
      <c r="D66" s="11"/>
      <c r="E66" s="11"/>
      <c r="F66" s="11"/>
      <c r="G66" s="11"/>
      <c r="H66" s="11"/>
      <c r="I66" s="10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ht="15.75" customHeight="1">
      <c r="A67" s="1"/>
      <c r="B67" s="1"/>
      <c r="C67" s="17" t="s">
        <v>102</v>
      </c>
      <c r="D67" s="183">
        <v>18.0</v>
      </c>
      <c r="E67" s="183">
        <v>34.78</v>
      </c>
      <c r="F67" s="183">
        <v>57.572</v>
      </c>
      <c r="G67" s="183">
        <v>56.754</v>
      </c>
      <c r="H67" s="183">
        <v>68.419</v>
      </c>
      <c r="I67" s="214"/>
      <c r="J67" s="148">
        <f t="shared" ref="J67:T67" si="55">(J68/365)*J9</f>
        <v>81.59095038</v>
      </c>
      <c r="K67" s="148">
        <f t="shared" si="55"/>
        <v>102.0904896</v>
      </c>
      <c r="L67" s="148">
        <f t="shared" si="55"/>
        <v>127.3608389</v>
      </c>
      <c r="M67" s="148">
        <f t="shared" si="55"/>
        <v>152.9104437</v>
      </c>
      <c r="N67" s="148">
        <f t="shared" si="55"/>
        <v>179.3918489</v>
      </c>
      <c r="O67" s="148">
        <f t="shared" si="55"/>
        <v>206.9659033</v>
      </c>
      <c r="P67" s="148">
        <f t="shared" si="55"/>
        <v>233.2773291</v>
      </c>
      <c r="Q67" s="148">
        <f t="shared" si="55"/>
        <v>249.5364289</v>
      </c>
      <c r="R67" s="148">
        <f t="shared" si="55"/>
        <v>263.8797798</v>
      </c>
      <c r="S67" s="148">
        <f t="shared" si="55"/>
        <v>275.1069216</v>
      </c>
      <c r="T67" s="148">
        <f t="shared" si="55"/>
        <v>277.8579908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ht="15.75" customHeight="1">
      <c r="A68" s="1"/>
      <c r="B68" s="1"/>
      <c r="C68" s="55" t="s">
        <v>103</v>
      </c>
      <c r="D68" s="223">
        <f t="shared" ref="D68:E68" si="56">(D67/D9)*365</f>
        <v>20.60917846</v>
      </c>
      <c r="E68" s="223">
        <f t="shared" si="56"/>
        <v>29.83555392</v>
      </c>
      <c r="F68" s="223">
        <f t="shared" ref="F68:H68" si="57">(F67/F$9)*365</f>
        <v>35.29687038</v>
      </c>
      <c r="G68" s="223">
        <f t="shared" si="57"/>
        <v>27.01179431</v>
      </c>
      <c r="H68" s="223">
        <f t="shared" si="57"/>
        <v>25.60861772</v>
      </c>
      <c r="I68" s="224"/>
      <c r="J68" s="225">
        <f>H68</f>
        <v>25.60861772</v>
      </c>
      <c r="K68" s="225">
        <f t="shared" ref="K68:T68" si="58">J68</f>
        <v>25.60861772</v>
      </c>
      <c r="L68" s="225">
        <f t="shared" si="58"/>
        <v>25.60861772</v>
      </c>
      <c r="M68" s="225">
        <f t="shared" si="58"/>
        <v>25.60861772</v>
      </c>
      <c r="N68" s="225">
        <f t="shared" si="58"/>
        <v>25.60861772</v>
      </c>
      <c r="O68" s="225">
        <f t="shared" si="58"/>
        <v>25.60861772</v>
      </c>
      <c r="P68" s="225">
        <f t="shared" si="58"/>
        <v>25.60861772</v>
      </c>
      <c r="Q68" s="225">
        <f t="shared" si="58"/>
        <v>25.60861772</v>
      </c>
      <c r="R68" s="225">
        <f t="shared" si="58"/>
        <v>25.60861772</v>
      </c>
      <c r="S68" s="225">
        <f t="shared" si="58"/>
        <v>25.60861772</v>
      </c>
      <c r="T68" s="225">
        <f t="shared" si="58"/>
        <v>25.60861772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ht="15.75" customHeight="1">
      <c r="A69" s="1"/>
      <c r="B69" s="1"/>
      <c r="C69" s="1"/>
      <c r="D69" s="11"/>
      <c r="E69" s="11"/>
      <c r="F69" s="11"/>
      <c r="G69" s="11"/>
      <c r="H69" s="11"/>
      <c r="I69" s="10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ht="15.75" customHeight="1">
      <c r="A70" s="1"/>
      <c r="B70" s="1"/>
      <c r="C70" s="17" t="s">
        <v>104</v>
      </c>
      <c r="D70" s="183">
        <v>19.0</v>
      </c>
      <c r="E70" s="183">
        <v>35.574</v>
      </c>
      <c r="F70" s="183">
        <v>58.29</v>
      </c>
      <c r="G70" s="183">
        <v>63.238</v>
      </c>
      <c r="H70" s="183">
        <v>80.794</v>
      </c>
      <c r="I70" s="214"/>
      <c r="J70" s="148">
        <f t="shared" ref="J70:T70" si="59">(J71/365)*J31</f>
        <v>92.05159377</v>
      </c>
      <c r="K70" s="148">
        <f t="shared" si="59"/>
        <v>113.6068374</v>
      </c>
      <c r="L70" s="148">
        <f t="shared" si="59"/>
        <v>137.804317</v>
      </c>
      <c r="M70" s="148">
        <f t="shared" si="59"/>
        <v>163.0936751</v>
      </c>
      <c r="N70" s="148">
        <f t="shared" si="59"/>
        <v>188.5754497</v>
      </c>
      <c r="O70" s="148">
        <f t="shared" si="59"/>
        <v>214.373189</v>
      </c>
      <c r="P70" s="148">
        <f t="shared" si="59"/>
        <v>238.0331077</v>
      </c>
      <c r="Q70" s="148">
        <f t="shared" si="59"/>
        <v>250.7800484</v>
      </c>
      <c r="R70" s="148">
        <f t="shared" si="59"/>
        <v>261.1303206</v>
      </c>
      <c r="S70" s="148">
        <f t="shared" si="59"/>
        <v>268.0029882</v>
      </c>
      <c r="T70" s="148">
        <f t="shared" si="59"/>
        <v>266.4031485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ht="15.75" customHeight="1">
      <c r="A71" s="1"/>
      <c r="B71" s="1"/>
      <c r="C71" s="55" t="s">
        <v>105</v>
      </c>
      <c r="D71" s="223">
        <f t="shared" ref="D71:H71" si="60">(D70/D$31)*365</f>
        <v>37.30901657</v>
      </c>
      <c r="E71" s="223">
        <f t="shared" si="60"/>
        <v>49.30645584</v>
      </c>
      <c r="F71" s="223">
        <f t="shared" si="60"/>
        <v>51.97966827</v>
      </c>
      <c r="G71" s="223">
        <f t="shared" si="60"/>
        <v>44.73031241</v>
      </c>
      <c r="H71" s="223">
        <f t="shared" si="60"/>
        <v>50.91288127</v>
      </c>
      <c r="I71" s="224"/>
      <c r="J71" s="225">
        <f t="shared" ref="J71:T71" si="61">MEDIAN($D$71:$H$71)</f>
        <v>49.30645584</v>
      </c>
      <c r="K71" s="225">
        <f t="shared" si="61"/>
        <v>49.30645584</v>
      </c>
      <c r="L71" s="225">
        <f t="shared" si="61"/>
        <v>49.30645584</v>
      </c>
      <c r="M71" s="225">
        <f t="shared" si="61"/>
        <v>49.30645584</v>
      </c>
      <c r="N71" s="225">
        <f t="shared" si="61"/>
        <v>49.30645584</v>
      </c>
      <c r="O71" s="225">
        <f t="shared" si="61"/>
        <v>49.30645584</v>
      </c>
      <c r="P71" s="225">
        <f t="shared" si="61"/>
        <v>49.30645584</v>
      </c>
      <c r="Q71" s="225">
        <f t="shared" si="61"/>
        <v>49.30645584</v>
      </c>
      <c r="R71" s="225">
        <f t="shared" si="61"/>
        <v>49.30645584</v>
      </c>
      <c r="S71" s="225">
        <f t="shared" si="61"/>
        <v>49.30645584</v>
      </c>
      <c r="T71" s="225">
        <f t="shared" si="61"/>
        <v>49.30645584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ht="15.75" customHeight="1">
      <c r="A72" s="1"/>
      <c r="B72" s="1"/>
      <c r="C72" s="55"/>
      <c r="D72" s="226"/>
      <c r="E72" s="226"/>
      <c r="F72" s="226"/>
      <c r="G72" s="226"/>
      <c r="H72" s="226"/>
      <c r="I72" s="224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ht="15.75" customHeight="1">
      <c r="A73" s="1"/>
      <c r="B73" s="1"/>
      <c r="C73" s="17" t="s">
        <v>106</v>
      </c>
      <c r="D73" s="183">
        <v>67.0</v>
      </c>
      <c r="E73" s="183">
        <v>72.788</v>
      </c>
      <c r="F73" s="183">
        <v>132.735</v>
      </c>
      <c r="G73" s="183">
        <v>296.871</v>
      </c>
      <c r="H73" s="183">
        <v>268.633</v>
      </c>
      <c r="I73" s="214"/>
      <c r="J73" s="148">
        <f t="shared" ref="J73:T73" si="62">J74*J9</f>
        <v>259.278313</v>
      </c>
      <c r="K73" s="148">
        <f t="shared" si="62"/>
        <v>324.4213947</v>
      </c>
      <c r="L73" s="148">
        <f t="shared" si="62"/>
        <v>404.7250743</v>
      </c>
      <c r="M73" s="148">
        <f t="shared" si="62"/>
        <v>485.9161673</v>
      </c>
      <c r="N73" s="148">
        <f t="shared" si="62"/>
        <v>570.0683192</v>
      </c>
      <c r="O73" s="148">
        <f t="shared" si="62"/>
        <v>657.6926733</v>
      </c>
      <c r="P73" s="148">
        <f t="shared" si="62"/>
        <v>741.3046678</v>
      </c>
      <c r="Q73" s="148">
        <f t="shared" si="62"/>
        <v>792.9725541</v>
      </c>
      <c r="R73" s="148">
        <f t="shared" si="62"/>
        <v>838.552607</v>
      </c>
      <c r="S73" s="148">
        <f t="shared" si="62"/>
        <v>874.2300244</v>
      </c>
      <c r="T73" s="148">
        <f t="shared" si="62"/>
        <v>882.9723246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ht="15.75" customHeight="1">
      <c r="A74" s="1"/>
      <c r="B74" s="1"/>
      <c r="C74" s="55" t="s">
        <v>107</v>
      </c>
      <c r="D74" s="228">
        <f t="shared" ref="D74:H74" si="63">D73/D9</f>
        <v>0.2101697042</v>
      </c>
      <c r="E74" s="228">
        <f t="shared" si="63"/>
        <v>0.1710690523</v>
      </c>
      <c r="F74" s="228">
        <f t="shared" si="63"/>
        <v>0.2229551318</v>
      </c>
      <c r="G74" s="228">
        <f t="shared" si="63"/>
        <v>0.3871077527</v>
      </c>
      <c r="H74" s="228">
        <f t="shared" si="63"/>
        <v>0.2754710171</v>
      </c>
      <c r="I74" s="229"/>
      <c r="J74" s="230">
        <f t="shared" ref="J74:T74" si="64">MEDIAN($D74:$H74)</f>
        <v>0.2229551318</v>
      </c>
      <c r="K74" s="230">
        <f t="shared" si="64"/>
        <v>0.2229551318</v>
      </c>
      <c r="L74" s="230">
        <f t="shared" si="64"/>
        <v>0.2229551318</v>
      </c>
      <c r="M74" s="230">
        <f t="shared" si="64"/>
        <v>0.2229551318</v>
      </c>
      <c r="N74" s="230">
        <f t="shared" si="64"/>
        <v>0.2229551318</v>
      </c>
      <c r="O74" s="230">
        <f t="shared" si="64"/>
        <v>0.2229551318</v>
      </c>
      <c r="P74" s="230">
        <f t="shared" si="64"/>
        <v>0.2229551318</v>
      </c>
      <c r="Q74" s="230">
        <f t="shared" si="64"/>
        <v>0.2229551318</v>
      </c>
      <c r="R74" s="230">
        <f t="shared" si="64"/>
        <v>0.2229551318</v>
      </c>
      <c r="S74" s="230">
        <f t="shared" si="64"/>
        <v>0.2229551318</v>
      </c>
      <c r="T74" s="230">
        <f t="shared" si="64"/>
        <v>0.2229551318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ht="15.75" customHeight="1">
      <c r="A75" s="1"/>
      <c r="B75" s="1"/>
      <c r="C75" s="55"/>
      <c r="D75" s="231"/>
      <c r="E75" s="231"/>
      <c r="F75" s="231"/>
      <c r="G75" s="231"/>
      <c r="H75" s="231"/>
      <c r="I75" s="229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ht="15.75" customHeight="1">
      <c r="A76" s="1"/>
      <c r="B76" s="1"/>
      <c r="C76" s="17" t="s">
        <v>108</v>
      </c>
      <c r="D76" s="183">
        <v>3.0</v>
      </c>
      <c r="E76" s="183">
        <v>5.834</v>
      </c>
      <c r="F76" s="183">
        <v>9.778</v>
      </c>
      <c r="G76" s="183">
        <v>7.615</v>
      </c>
      <c r="H76" s="183">
        <v>16.026</v>
      </c>
      <c r="I76" s="229"/>
      <c r="J76" s="141">
        <f t="shared" ref="J76:T76" si="65">J77*J34</f>
        <v>16.06755073</v>
      </c>
      <c r="K76" s="141">
        <f t="shared" si="65"/>
        <v>19.21168327</v>
      </c>
      <c r="L76" s="141">
        <f t="shared" si="65"/>
        <v>27.53133056</v>
      </c>
      <c r="M76" s="141">
        <f t="shared" si="65"/>
        <v>29.54441452</v>
      </c>
      <c r="N76" s="141">
        <f t="shared" si="65"/>
        <v>36.10004788</v>
      </c>
      <c r="O76" s="141">
        <f t="shared" si="65"/>
        <v>41.39275228</v>
      </c>
      <c r="P76" s="141">
        <f t="shared" si="65"/>
        <v>47.67595356</v>
      </c>
      <c r="Q76" s="141">
        <f t="shared" si="65"/>
        <v>49.64568784</v>
      </c>
      <c r="R76" s="141">
        <f t="shared" si="65"/>
        <v>53.48515345</v>
      </c>
      <c r="S76" s="141">
        <f t="shared" si="65"/>
        <v>55.55066879</v>
      </c>
      <c r="T76" s="141">
        <f t="shared" si="65"/>
        <v>56.35607303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ht="15.75" customHeight="1">
      <c r="A77" s="1"/>
      <c r="B77" s="1"/>
      <c r="C77" s="55" t="s">
        <v>109</v>
      </c>
      <c r="D77" s="228">
        <f t="shared" ref="D77:H77" si="66">D76/D34</f>
        <v>0.02223737658</v>
      </c>
      <c r="E77" s="228">
        <f t="shared" si="66"/>
        <v>0.03122975874</v>
      </c>
      <c r="F77" s="228">
        <f t="shared" si="66"/>
        <v>0.04108127185</v>
      </c>
      <c r="G77" s="228">
        <f t="shared" si="66"/>
        <v>0.02706901087</v>
      </c>
      <c r="H77" s="228">
        <f t="shared" si="66"/>
        <v>0.04477074062</v>
      </c>
      <c r="I77" s="224"/>
      <c r="J77" s="230">
        <f t="shared" ref="J77:T77" si="67">AVERAGE(F77:H77)</f>
        <v>0.03764034111</v>
      </c>
      <c r="K77" s="230">
        <f t="shared" si="67"/>
        <v>0.03591987574</v>
      </c>
      <c r="L77" s="230">
        <f t="shared" si="67"/>
        <v>0.04120554087</v>
      </c>
      <c r="M77" s="230">
        <f t="shared" si="67"/>
        <v>0.03678010843</v>
      </c>
      <c r="N77" s="230">
        <f t="shared" si="67"/>
        <v>0.03825525257</v>
      </c>
      <c r="O77" s="230">
        <f t="shared" si="67"/>
        <v>0.03796850835</v>
      </c>
      <c r="P77" s="230">
        <f t="shared" si="67"/>
        <v>0.03874696729</v>
      </c>
      <c r="Q77" s="230">
        <f t="shared" si="67"/>
        <v>0.03766795645</v>
      </c>
      <c r="R77" s="230">
        <f t="shared" si="67"/>
        <v>0.03832357607</v>
      </c>
      <c r="S77" s="230">
        <f t="shared" si="67"/>
        <v>0.0381278107</v>
      </c>
      <c r="T77" s="230">
        <f t="shared" si="67"/>
        <v>0.0382461666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ht="15.75" customHeight="1">
      <c r="A78" s="1"/>
      <c r="B78" s="1"/>
      <c r="C78" s="55"/>
      <c r="D78" s="231"/>
      <c r="E78" s="231"/>
      <c r="F78" s="231"/>
      <c r="G78" s="231"/>
      <c r="H78" s="231"/>
      <c r="I78" s="224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ht="15.75" customHeight="1">
      <c r="A79" s="1"/>
      <c r="B79" s="1"/>
      <c r="C79" s="17" t="s">
        <v>110</v>
      </c>
      <c r="D79" s="183">
        <v>0.9</v>
      </c>
      <c r="E79" s="183">
        <v>1.349</v>
      </c>
      <c r="F79" s="183">
        <v>3.59</v>
      </c>
      <c r="G79" s="183">
        <v>2.841</v>
      </c>
      <c r="H79" s="183">
        <v>3.126</v>
      </c>
      <c r="I79" s="214"/>
      <c r="J79" s="148">
        <f t="shared" ref="J79:T79" si="68">J80*J$9</f>
        <v>3.727814071</v>
      </c>
      <c r="K79" s="148">
        <f t="shared" si="68"/>
        <v>4.664418809</v>
      </c>
      <c r="L79" s="148">
        <f t="shared" si="68"/>
        <v>5.81899739</v>
      </c>
      <c r="M79" s="148">
        <f t="shared" si="68"/>
        <v>6.986334894</v>
      </c>
      <c r="N79" s="148">
        <f t="shared" si="68"/>
        <v>8.196245481</v>
      </c>
      <c r="O79" s="148">
        <f t="shared" si="68"/>
        <v>9.456078193</v>
      </c>
      <c r="P79" s="148">
        <f t="shared" si="68"/>
        <v>10.65822258</v>
      </c>
      <c r="Q79" s="148">
        <f t="shared" si="68"/>
        <v>11.40108561</v>
      </c>
      <c r="R79" s="148">
        <f t="shared" si="68"/>
        <v>12.05641988</v>
      </c>
      <c r="S79" s="148">
        <f t="shared" si="68"/>
        <v>12.56937747</v>
      </c>
      <c r="T79" s="148">
        <f t="shared" si="68"/>
        <v>12.69507124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ht="15.75" customHeight="1">
      <c r="A80" s="1"/>
      <c r="B80" s="1"/>
      <c r="C80" s="179" t="s">
        <v>107</v>
      </c>
      <c r="D80" s="233">
        <f t="shared" ref="D80:H80" si="69">D79/D9</f>
        <v>0.002823175131</v>
      </c>
      <c r="E80" s="233">
        <f t="shared" si="69"/>
        <v>0.003170469742</v>
      </c>
      <c r="F80" s="233">
        <f t="shared" si="69"/>
        <v>0.00603012712</v>
      </c>
      <c r="G80" s="233">
        <f t="shared" si="69"/>
        <v>0.003704548863</v>
      </c>
      <c r="H80" s="233">
        <f t="shared" si="69"/>
        <v>0.003205571912</v>
      </c>
      <c r="I80" s="229"/>
      <c r="J80" s="234">
        <f t="shared" ref="J80:T80" si="70">MEDIAN($D$80:$H80)</f>
        <v>0.003205571912</v>
      </c>
      <c r="K80" s="234">
        <f t="shared" si="70"/>
        <v>0.003205571912</v>
      </c>
      <c r="L80" s="234">
        <f t="shared" si="70"/>
        <v>0.003205571912</v>
      </c>
      <c r="M80" s="234">
        <f t="shared" si="70"/>
        <v>0.003205571912</v>
      </c>
      <c r="N80" s="234">
        <f t="shared" si="70"/>
        <v>0.003205571912</v>
      </c>
      <c r="O80" s="234">
        <f t="shared" si="70"/>
        <v>0.003205571912</v>
      </c>
      <c r="P80" s="234">
        <f t="shared" si="70"/>
        <v>0.003205571912</v>
      </c>
      <c r="Q80" s="234">
        <f t="shared" si="70"/>
        <v>0.003205571912</v>
      </c>
      <c r="R80" s="234">
        <f t="shared" si="70"/>
        <v>0.003205571912</v>
      </c>
      <c r="S80" s="234">
        <f t="shared" si="70"/>
        <v>0.003205571912</v>
      </c>
      <c r="T80" s="234">
        <f t="shared" si="70"/>
        <v>0.003205571912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ht="15.75" customHeight="1">
      <c r="A81" s="1"/>
      <c r="B81" s="1"/>
      <c r="C81" s="1"/>
      <c r="D81" s="11"/>
      <c r="E81" s="11"/>
      <c r="F81" s="11"/>
      <c r="G81" s="11"/>
      <c r="H81" s="11"/>
      <c r="I81" s="10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ht="15.75" customHeight="1">
      <c r="A82" s="1"/>
      <c r="B82" s="1"/>
      <c r="C82" s="17" t="s">
        <v>111</v>
      </c>
      <c r="D82" s="11">
        <f t="shared" ref="D82:H82" si="71">SUM(D67,D70,D73,D76,D79)</f>
        <v>107.9</v>
      </c>
      <c r="E82" s="11">
        <f t="shared" si="71"/>
        <v>150.325</v>
      </c>
      <c r="F82" s="11">
        <f t="shared" si="71"/>
        <v>261.965</v>
      </c>
      <c r="G82" s="11">
        <f t="shared" si="71"/>
        <v>427.319</v>
      </c>
      <c r="H82" s="11">
        <f t="shared" si="71"/>
        <v>436.998</v>
      </c>
      <c r="I82" s="214"/>
      <c r="J82" s="148">
        <f>SUM(J67,J70,J73,J76,J79)</f>
        <v>452.716222</v>
      </c>
      <c r="K82" s="148">
        <f>SUM(K67,K70,K73,K79)</f>
        <v>544.7831406</v>
      </c>
      <c r="L82" s="148">
        <f t="shared" ref="L82:T82" si="72">SUM(L67,L70,L73,L76,L79)</f>
        <v>703.2405582</v>
      </c>
      <c r="M82" s="148">
        <f t="shared" si="72"/>
        <v>838.4510355</v>
      </c>
      <c r="N82" s="148">
        <f t="shared" si="72"/>
        <v>982.3319111</v>
      </c>
      <c r="O82" s="148">
        <f t="shared" si="72"/>
        <v>1129.880596</v>
      </c>
      <c r="P82" s="148">
        <f t="shared" si="72"/>
        <v>1270.949281</v>
      </c>
      <c r="Q82" s="148">
        <f t="shared" si="72"/>
        <v>1354.335805</v>
      </c>
      <c r="R82" s="148">
        <f t="shared" si="72"/>
        <v>1429.104281</v>
      </c>
      <c r="S82" s="148">
        <f t="shared" si="72"/>
        <v>1485.45998</v>
      </c>
      <c r="T82" s="148">
        <f t="shared" si="72"/>
        <v>1496.284608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ht="15.75" customHeight="1">
      <c r="A83" s="1"/>
      <c r="B83" s="1"/>
      <c r="C83" s="1"/>
      <c r="D83" s="11"/>
      <c r="E83" s="11"/>
      <c r="F83" s="11"/>
      <c r="G83" s="11"/>
      <c r="H83" s="11"/>
      <c r="I83" s="10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ht="15.75" customHeight="1">
      <c r="A84" s="1"/>
      <c r="B84" s="40" t="s">
        <v>112</v>
      </c>
      <c r="C84" s="200"/>
      <c r="D84" s="201"/>
      <c r="E84" s="201"/>
      <c r="F84" s="201"/>
      <c r="G84" s="201"/>
      <c r="H84" s="201"/>
      <c r="I84" s="105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ht="15.75" customHeight="1">
      <c r="A85" s="1"/>
      <c r="B85" s="1"/>
      <c r="C85" s="1"/>
      <c r="D85" s="11"/>
      <c r="E85" s="11"/>
      <c r="F85" s="11"/>
      <c r="G85" s="11"/>
      <c r="H85" s="11"/>
      <c r="I85" s="10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ht="15.75" customHeight="1">
      <c r="A86" s="1"/>
      <c r="B86" s="1"/>
      <c r="C86" s="17" t="s">
        <v>113</v>
      </c>
      <c r="D86" s="183">
        <v>16.0</v>
      </c>
      <c r="E86" s="183">
        <v>42.0</v>
      </c>
      <c r="F86" s="183">
        <v>55.0</v>
      </c>
      <c r="G86" s="183">
        <v>36.0</v>
      </c>
      <c r="H86" s="183">
        <v>39.0</v>
      </c>
      <c r="I86" s="214"/>
      <c r="J86" s="148">
        <f t="shared" ref="J86:T86" si="73">(J87/365)*J$31</f>
        <v>58.6553606</v>
      </c>
      <c r="K86" s="148">
        <f t="shared" si="73"/>
        <v>72.39038178</v>
      </c>
      <c r="L86" s="148">
        <f t="shared" si="73"/>
        <v>87.80903811</v>
      </c>
      <c r="M86" s="148">
        <f t="shared" si="73"/>
        <v>103.9234404</v>
      </c>
      <c r="N86" s="148">
        <f t="shared" si="73"/>
        <v>120.1604508</v>
      </c>
      <c r="O86" s="148">
        <f t="shared" si="73"/>
        <v>136.5987941</v>
      </c>
      <c r="P86" s="148">
        <f t="shared" si="73"/>
        <v>151.6749162</v>
      </c>
      <c r="Q86" s="148">
        <f t="shared" si="73"/>
        <v>159.7972785</v>
      </c>
      <c r="R86" s="148">
        <f t="shared" si="73"/>
        <v>166.3924815</v>
      </c>
      <c r="S86" s="148">
        <f t="shared" si="73"/>
        <v>170.7717517</v>
      </c>
      <c r="T86" s="148">
        <f t="shared" si="73"/>
        <v>169.7523324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ht="15.75" customHeight="1">
      <c r="A87" s="1"/>
      <c r="B87" s="1"/>
      <c r="C87" s="55" t="s">
        <v>114</v>
      </c>
      <c r="D87" s="223">
        <f t="shared" ref="D87:H87" si="74">(D86/D$31)*365</f>
        <v>31.41811922</v>
      </c>
      <c r="E87" s="223">
        <f t="shared" si="74"/>
        <v>58.21305294</v>
      </c>
      <c r="F87" s="223">
        <f t="shared" si="74"/>
        <v>49.04583556</v>
      </c>
      <c r="G87" s="223">
        <f t="shared" si="74"/>
        <v>25.46398126</v>
      </c>
      <c r="H87" s="223">
        <f t="shared" si="74"/>
        <v>24.57611171</v>
      </c>
      <c r="I87" s="224"/>
      <c r="J87" s="225">
        <f t="shared" ref="J87:T87" si="75">MEDIAN($D87:$H87)</f>
        <v>31.41811922</v>
      </c>
      <c r="K87" s="225">
        <f t="shared" si="75"/>
        <v>31.41811922</v>
      </c>
      <c r="L87" s="225">
        <f t="shared" si="75"/>
        <v>31.41811922</v>
      </c>
      <c r="M87" s="225">
        <f t="shared" si="75"/>
        <v>31.41811922</v>
      </c>
      <c r="N87" s="225">
        <f t="shared" si="75"/>
        <v>31.41811922</v>
      </c>
      <c r="O87" s="225">
        <f t="shared" si="75"/>
        <v>31.41811922</v>
      </c>
      <c r="P87" s="225">
        <f t="shared" si="75"/>
        <v>31.41811922</v>
      </c>
      <c r="Q87" s="225">
        <f t="shared" si="75"/>
        <v>31.41811922</v>
      </c>
      <c r="R87" s="225">
        <f t="shared" si="75"/>
        <v>31.41811922</v>
      </c>
      <c r="S87" s="225">
        <f t="shared" si="75"/>
        <v>31.41811922</v>
      </c>
      <c r="T87" s="225">
        <f t="shared" si="75"/>
        <v>31.41811922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ht="15.75" customHeight="1">
      <c r="A88" s="1"/>
      <c r="B88" s="1"/>
      <c r="C88" s="55"/>
      <c r="D88" s="226"/>
      <c r="E88" s="226"/>
      <c r="F88" s="226"/>
      <c r="G88" s="226"/>
      <c r="H88" s="226"/>
      <c r="I88" s="229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ht="15.75" customHeight="1">
      <c r="A89" s="1"/>
      <c r="B89" s="1"/>
      <c r="C89" s="17" t="s">
        <v>115</v>
      </c>
      <c r="D89" s="183" t="s">
        <v>86</v>
      </c>
      <c r="E89" s="183"/>
      <c r="F89" s="183"/>
      <c r="G89" s="183"/>
      <c r="H89" s="183"/>
      <c r="I89" s="214"/>
      <c r="J89" s="148">
        <f t="shared" ref="J89:T89" si="76">J90*J$9</f>
        <v>0</v>
      </c>
      <c r="K89" s="148">
        <f t="shared" si="76"/>
        <v>0</v>
      </c>
      <c r="L89" s="148">
        <f t="shared" si="76"/>
        <v>0</v>
      </c>
      <c r="M89" s="148">
        <f t="shared" si="76"/>
        <v>0</v>
      </c>
      <c r="N89" s="148">
        <f t="shared" si="76"/>
        <v>0</v>
      </c>
      <c r="O89" s="148">
        <f t="shared" si="76"/>
        <v>0</v>
      </c>
      <c r="P89" s="148">
        <f t="shared" si="76"/>
        <v>0</v>
      </c>
      <c r="Q89" s="148">
        <f t="shared" si="76"/>
        <v>0</v>
      </c>
      <c r="R89" s="148">
        <f t="shared" si="76"/>
        <v>0</v>
      </c>
      <c r="S89" s="148">
        <f t="shared" si="76"/>
        <v>0</v>
      </c>
      <c r="T89" s="148">
        <f t="shared" si="76"/>
        <v>0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ht="15.75" customHeight="1">
      <c r="A90" s="1"/>
      <c r="B90" s="1"/>
      <c r="C90" s="55" t="s">
        <v>107</v>
      </c>
      <c r="D90" s="228"/>
      <c r="E90" s="228">
        <f t="shared" ref="E90:H90" si="77">E89/E9</f>
        <v>0</v>
      </c>
      <c r="F90" s="228">
        <f t="shared" si="77"/>
        <v>0</v>
      </c>
      <c r="G90" s="228">
        <f t="shared" si="77"/>
        <v>0</v>
      </c>
      <c r="H90" s="228">
        <f t="shared" si="77"/>
        <v>0</v>
      </c>
      <c r="I90" s="229"/>
      <c r="J90" s="230">
        <f>MEDIAN(E90:H90)</f>
        <v>0</v>
      </c>
      <c r="K90" s="230">
        <f t="shared" ref="K90:T90" si="78">J90</f>
        <v>0</v>
      </c>
      <c r="L90" s="230">
        <f t="shared" si="78"/>
        <v>0</v>
      </c>
      <c r="M90" s="230">
        <f t="shared" si="78"/>
        <v>0</v>
      </c>
      <c r="N90" s="230">
        <f t="shared" si="78"/>
        <v>0</v>
      </c>
      <c r="O90" s="230">
        <f t="shared" si="78"/>
        <v>0</v>
      </c>
      <c r="P90" s="230">
        <f t="shared" si="78"/>
        <v>0</v>
      </c>
      <c r="Q90" s="230">
        <f t="shared" si="78"/>
        <v>0</v>
      </c>
      <c r="R90" s="230">
        <f t="shared" si="78"/>
        <v>0</v>
      </c>
      <c r="S90" s="230">
        <f t="shared" si="78"/>
        <v>0</v>
      </c>
      <c r="T90" s="230">
        <f t="shared" si="78"/>
        <v>0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ht="15.75" customHeight="1">
      <c r="A91" s="1"/>
      <c r="B91" s="1"/>
      <c r="C91" s="55"/>
      <c r="D91" s="235"/>
      <c r="E91" s="235"/>
      <c r="F91" s="235"/>
      <c r="G91" s="235"/>
      <c r="H91" s="235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ht="15.75" customHeight="1">
      <c r="A92" s="1"/>
      <c r="B92" s="1"/>
      <c r="C92" s="17" t="s">
        <v>116</v>
      </c>
      <c r="D92" s="236">
        <v>15.0</v>
      </c>
      <c r="E92" s="236">
        <v>15.0</v>
      </c>
      <c r="F92" s="237">
        <v>33.0</v>
      </c>
      <c r="G92" s="237">
        <v>50.0</v>
      </c>
      <c r="H92" s="237">
        <v>56.0</v>
      </c>
      <c r="I92" s="238"/>
      <c r="J92" s="238">
        <f t="shared" ref="J92:T92" si="79">J9*J93</f>
        <v>64.46064964</v>
      </c>
      <c r="K92" s="238">
        <f t="shared" si="79"/>
        <v>82.10794302</v>
      </c>
      <c r="L92" s="238">
        <f t="shared" si="79"/>
        <v>102.432034</v>
      </c>
      <c r="M92" s="238">
        <f t="shared" si="79"/>
        <v>122.9807208</v>
      </c>
      <c r="N92" s="238">
        <f t="shared" si="79"/>
        <v>144.2788233</v>
      </c>
      <c r="O92" s="238">
        <f t="shared" si="79"/>
        <v>166.4557068</v>
      </c>
      <c r="P92" s="238">
        <f t="shared" si="79"/>
        <v>187.6171005</v>
      </c>
      <c r="Q92" s="238">
        <f t="shared" si="79"/>
        <v>200.6937469</v>
      </c>
      <c r="R92" s="238">
        <f t="shared" si="79"/>
        <v>212.2296211</v>
      </c>
      <c r="S92" s="238">
        <f t="shared" si="79"/>
        <v>221.2592332</v>
      </c>
      <c r="T92" s="238">
        <f t="shared" si="79"/>
        <v>223.4718255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ht="15.75" customHeight="1">
      <c r="A93" s="1"/>
      <c r="B93" s="1"/>
      <c r="C93" s="55" t="s">
        <v>117</v>
      </c>
      <c r="D93" s="239">
        <f t="shared" ref="D93:H93" si="80">D92/D9</f>
        <v>0.04705291885</v>
      </c>
      <c r="E93" s="239">
        <f t="shared" si="80"/>
        <v>0.03525355532</v>
      </c>
      <c r="F93" s="239">
        <f t="shared" si="80"/>
        <v>0.05543013787</v>
      </c>
      <c r="G93" s="239">
        <f t="shared" si="80"/>
        <v>0.06519797365</v>
      </c>
      <c r="H93" s="239">
        <f t="shared" si="80"/>
        <v>0.0574254725</v>
      </c>
      <c r="I93" s="229"/>
      <c r="J93" s="230">
        <f>MEDIAN($D93:$H93)</f>
        <v>0.05543013787</v>
      </c>
      <c r="K93" s="230">
        <f t="shared" ref="K93:T93" si="81">MEDIAN($E93:$H93)</f>
        <v>0.05642780519</v>
      </c>
      <c r="L93" s="230">
        <f t="shared" si="81"/>
        <v>0.05642780519</v>
      </c>
      <c r="M93" s="230">
        <f t="shared" si="81"/>
        <v>0.05642780519</v>
      </c>
      <c r="N93" s="230">
        <f t="shared" si="81"/>
        <v>0.05642780519</v>
      </c>
      <c r="O93" s="230">
        <f t="shared" si="81"/>
        <v>0.05642780519</v>
      </c>
      <c r="P93" s="230">
        <f t="shared" si="81"/>
        <v>0.05642780519</v>
      </c>
      <c r="Q93" s="230">
        <f t="shared" si="81"/>
        <v>0.05642780519</v>
      </c>
      <c r="R93" s="230">
        <f t="shared" si="81"/>
        <v>0.05642780519</v>
      </c>
      <c r="S93" s="230">
        <f t="shared" si="81"/>
        <v>0.05642780519</v>
      </c>
      <c r="T93" s="230">
        <f t="shared" si="81"/>
        <v>0.05642780519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ht="15.75" customHeight="1">
      <c r="A94" s="1"/>
      <c r="B94" s="1"/>
      <c r="C94" s="1"/>
      <c r="D94" s="11"/>
      <c r="E94" s="11"/>
      <c r="F94" s="11"/>
      <c r="G94" s="11"/>
      <c r="H94" s="11"/>
      <c r="I94" s="10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ht="15.75" customHeight="1">
      <c r="A95" s="1"/>
      <c r="B95" s="1"/>
      <c r="C95" s="17" t="s">
        <v>118</v>
      </c>
      <c r="D95" s="183">
        <v>1.0</v>
      </c>
      <c r="E95" s="183">
        <v>1.0</v>
      </c>
      <c r="F95" s="183">
        <v>2.0</v>
      </c>
      <c r="G95" s="183">
        <v>3.0</v>
      </c>
      <c r="H95" s="183">
        <v>3.422</v>
      </c>
      <c r="I95" s="214"/>
      <c r="J95" s="148">
        <f t="shared" ref="J95:T95" si="82">J96*J$9</f>
        <v>3.906706039</v>
      </c>
      <c r="K95" s="148">
        <f t="shared" si="82"/>
        <v>4.888256974</v>
      </c>
      <c r="L95" s="148">
        <f t="shared" si="82"/>
        <v>6.098241976</v>
      </c>
      <c r="M95" s="148">
        <f t="shared" si="82"/>
        <v>7.321598181</v>
      </c>
      <c r="N95" s="148">
        <f t="shared" si="82"/>
        <v>8.589570485</v>
      </c>
      <c r="O95" s="148">
        <f t="shared" si="82"/>
        <v>9.909860599</v>
      </c>
      <c r="P95" s="148">
        <f t="shared" si="82"/>
        <v>11.16969402</v>
      </c>
      <c r="Q95" s="148">
        <f t="shared" si="82"/>
        <v>11.94820589</v>
      </c>
      <c r="R95" s="148">
        <f t="shared" si="82"/>
        <v>12.63498862</v>
      </c>
      <c r="S95" s="148">
        <f t="shared" si="82"/>
        <v>13.17256224</v>
      </c>
      <c r="T95" s="148">
        <f t="shared" si="82"/>
        <v>13.30428786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ht="15.75" customHeight="1">
      <c r="A96" s="1"/>
      <c r="B96" s="1"/>
      <c r="C96" s="179" t="s">
        <v>107</v>
      </c>
      <c r="D96" s="233">
        <f t="shared" ref="D96:H96" si="83">D95/D9</f>
        <v>0.003136861257</v>
      </c>
      <c r="E96" s="233">
        <f t="shared" si="83"/>
        <v>0.002350237021</v>
      </c>
      <c r="F96" s="233">
        <f t="shared" si="83"/>
        <v>0.003359402295</v>
      </c>
      <c r="G96" s="233">
        <f t="shared" si="83"/>
        <v>0.003911878419</v>
      </c>
      <c r="H96" s="233">
        <f t="shared" si="83"/>
        <v>0.003509106552</v>
      </c>
      <c r="I96" s="229"/>
      <c r="J96" s="234">
        <f t="shared" ref="J96:T96" si="84">MEDIAN($D96:$H96)</f>
        <v>0.003359402295</v>
      </c>
      <c r="K96" s="234">
        <f t="shared" si="84"/>
        <v>0.003359402295</v>
      </c>
      <c r="L96" s="234">
        <f t="shared" si="84"/>
        <v>0.003359402295</v>
      </c>
      <c r="M96" s="234">
        <f t="shared" si="84"/>
        <v>0.003359402295</v>
      </c>
      <c r="N96" s="234">
        <f t="shared" si="84"/>
        <v>0.003359402295</v>
      </c>
      <c r="O96" s="234">
        <f t="shared" si="84"/>
        <v>0.003359402295</v>
      </c>
      <c r="P96" s="234">
        <f t="shared" si="84"/>
        <v>0.003359402295</v>
      </c>
      <c r="Q96" s="234">
        <f t="shared" si="84"/>
        <v>0.003359402295</v>
      </c>
      <c r="R96" s="234">
        <f t="shared" si="84"/>
        <v>0.003359402295</v>
      </c>
      <c r="S96" s="234">
        <f t="shared" si="84"/>
        <v>0.003359402295</v>
      </c>
      <c r="T96" s="234">
        <f t="shared" si="84"/>
        <v>0.003359402295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ht="15.75" customHeight="1">
      <c r="A97" s="1"/>
      <c r="B97" s="1"/>
      <c r="C97" s="1"/>
      <c r="D97" s="11"/>
      <c r="E97" s="11"/>
      <c r="F97" s="11"/>
      <c r="G97" s="11"/>
      <c r="H97" s="11"/>
      <c r="I97" s="10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ht="15.75" customHeight="1">
      <c r="A98" s="1"/>
      <c r="B98" s="1"/>
      <c r="C98" s="17" t="s">
        <v>119</v>
      </c>
      <c r="D98" s="148">
        <f t="shared" ref="D98:H98" si="85">SUM(D86,D92,D95)</f>
        <v>32</v>
      </c>
      <c r="E98" s="148">
        <f t="shared" si="85"/>
        <v>58</v>
      </c>
      <c r="F98" s="148">
        <f t="shared" si="85"/>
        <v>90</v>
      </c>
      <c r="G98" s="148">
        <f t="shared" si="85"/>
        <v>89</v>
      </c>
      <c r="H98" s="148">
        <f t="shared" si="85"/>
        <v>98.422</v>
      </c>
      <c r="I98" s="214"/>
      <c r="J98" s="148">
        <f t="shared" ref="J98:T98" si="86">SUM(J86,J92,J95)</f>
        <v>127.0227163</v>
      </c>
      <c r="K98" s="148">
        <f t="shared" si="86"/>
        <v>159.3865818</v>
      </c>
      <c r="L98" s="148">
        <f t="shared" si="86"/>
        <v>196.3393141</v>
      </c>
      <c r="M98" s="148">
        <f t="shared" si="86"/>
        <v>234.2257594</v>
      </c>
      <c r="N98" s="148">
        <f t="shared" si="86"/>
        <v>273.0288445</v>
      </c>
      <c r="O98" s="148">
        <f t="shared" si="86"/>
        <v>312.9643614</v>
      </c>
      <c r="P98" s="148">
        <f t="shared" si="86"/>
        <v>350.4617107</v>
      </c>
      <c r="Q98" s="148">
        <f t="shared" si="86"/>
        <v>372.4392313</v>
      </c>
      <c r="R98" s="148">
        <f t="shared" si="86"/>
        <v>391.2570912</v>
      </c>
      <c r="S98" s="148">
        <f t="shared" si="86"/>
        <v>405.2035471</v>
      </c>
      <c r="T98" s="148">
        <f t="shared" si="86"/>
        <v>406.5284458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ht="15.75" customHeight="1">
      <c r="A99" s="1"/>
      <c r="B99" s="1"/>
      <c r="C99" s="1"/>
      <c r="D99" s="1"/>
      <c r="E99" s="11"/>
      <c r="F99" s="11"/>
      <c r="G99" s="11"/>
      <c r="H99" s="11"/>
      <c r="I99" s="10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ht="15.75" customHeight="1">
      <c r="A100" s="1"/>
      <c r="B100" s="40" t="s">
        <v>120</v>
      </c>
      <c r="C100" s="200"/>
      <c r="D100" s="240">
        <f t="shared" ref="D100:H100" si="87">D82-D98</f>
        <v>75.9</v>
      </c>
      <c r="E100" s="240">
        <f t="shared" si="87"/>
        <v>92.325</v>
      </c>
      <c r="F100" s="240">
        <f t="shared" si="87"/>
        <v>171.965</v>
      </c>
      <c r="G100" s="240">
        <f t="shared" si="87"/>
        <v>338.319</v>
      </c>
      <c r="H100" s="240">
        <f t="shared" si="87"/>
        <v>338.576</v>
      </c>
      <c r="I100" s="214"/>
      <c r="J100" s="240">
        <f t="shared" ref="J100:T100" si="88">J82-J98</f>
        <v>325.6935057</v>
      </c>
      <c r="K100" s="240">
        <f t="shared" si="88"/>
        <v>385.3965588</v>
      </c>
      <c r="L100" s="240">
        <f t="shared" si="88"/>
        <v>506.9012441</v>
      </c>
      <c r="M100" s="240">
        <f t="shared" si="88"/>
        <v>604.225276</v>
      </c>
      <c r="N100" s="240">
        <f t="shared" si="88"/>
        <v>709.3030666</v>
      </c>
      <c r="O100" s="240">
        <f t="shared" si="88"/>
        <v>816.9162347</v>
      </c>
      <c r="P100" s="240">
        <f t="shared" si="88"/>
        <v>920.4875701</v>
      </c>
      <c r="Q100" s="240">
        <f t="shared" si="88"/>
        <v>981.8965735</v>
      </c>
      <c r="R100" s="240">
        <f t="shared" si="88"/>
        <v>1037.847189</v>
      </c>
      <c r="S100" s="240">
        <f t="shared" si="88"/>
        <v>1080.256433</v>
      </c>
      <c r="T100" s="240">
        <f t="shared" si="88"/>
        <v>1089.756162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ht="15.75" customHeight="1">
      <c r="A101" s="1"/>
      <c r="B101" s="1"/>
      <c r="C101" s="55" t="s">
        <v>64</v>
      </c>
      <c r="D101" s="228">
        <f t="shared" ref="D101:H101" si="89">D100/D9</f>
        <v>0.2380877694</v>
      </c>
      <c r="E101" s="228">
        <f t="shared" si="89"/>
        <v>0.216985633</v>
      </c>
      <c r="F101" s="228">
        <f t="shared" si="89"/>
        <v>0.2888498078</v>
      </c>
      <c r="G101" s="228">
        <f t="shared" si="89"/>
        <v>0.4411542649</v>
      </c>
      <c r="H101" s="228">
        <f t="shared" si="89"/>
        <v>0.3471944068</v>
      </c>
      <c r="I101" s="241"/>
      <c r="J101" s="228">
        <f t="shared" ref="J101:T101" si="90">J100/J$9</f>
        <v>0.2800659941</v>
      </c>
      <c r="K101" s="228">
        <f t="shared" si="90"/>
        <v>0.2648596608</v>
      </c>
      <c r="L101" s="228">
        <f t="shared" si="90"/>
        <v>0.2792419864</v>
      </c>
      <c r="M101" s="228">
        <f t="shared" si="90"/>
        <v>0.2772394399</v>
      </c>
      <c r="N101" s="228">
        <f t="shared" si="90"/>
        <v>0.2774101865</v>
      </c>
      <c r="O101" s="228">
        <f t="shared" si="90"/>
        <v>0.2769312692</v>
      </c>
      <c r="P101" s="228">
        <f t="shared" si="90"/>
        <v>0.2768462637</v>
      </c>
      <c r="Q101" s="228">
        <f t="shared" si="90"/>
        <v>0.2760737163</v>
      </c>
      <c r="R101" s="228">
        <f t="shared" si="90"/>
        <v>0.2759437571</v>
      </c>
      <c r="S101" s="228">
        <f t="shared" si="90"/>
        <v>0.2754981055</v>
      </c>
      <c r="T101" s="228">
        <f t="shared" si="90"/>
        <v>0.2751691328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ht="15.75" customHeight="1">
      <c r="A102" s="1"/>
      <c r="B102" s="1"/>
      <c r="C102" s="55"/>
      <c r="D102" s="11"/>
      <c r="E102" s="11"/>
      <c r="F102" s="11"/>
      <c r="G102" s="11"/>
      <c r="H102" s="11"/>
      <c r="I102" s="111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ht="15.75" customHeight="1">
      <c r="A103" s="1"/>
      <c r="B103" s="17" t="s">
        <v>121</v>
      </c>
      <c r="C103" s="1"/>
      <c r="D103" s="242" t="s">
        <v>86</v>
      </c>
      <c r="E103" s="148">
        <f t="shared" ref="E103:H103" si="91">E100-D100</f>
        <v>16.425</v>
      </c>
      <c r="F103" s="148">
        <f t="shared" si="91"/>
        <v>79.64</v>
      </c>
      <c r="G103" s="148">
        <f t="shared" si="91"/>
        <v>166.354</v>
      </c>
      <c r="H103" s="148">
        <f t="shared" si="91"/>
        <v>0.257</v>
      </c>
      <c r="I103" s="214"/>
      <c r="J103" s="148">
        <f>J100-H100</f>
        <v>-12.88249429</v>
      </c>
      <c r="K103" s="148">
        <f t="shared" ref="K103:T103" si="92">K100-J100</f>
        <v>59.7030531</v>
      </c>
      <c r="L103" s="148">
        <f t="shared" si="92"/>
        <v>121.5046853</v>
      </c>
      <c r="M103" s="148">
        <f t="shared" si="92"/>
        <v>97.32403197</v>
      </c>
      <c r="N103" s="148">
        <f t="shared" si="92"/>
        <v>105.0777905</v>
      </c>
      <c r="O103" s="148">
        <f t="shared" si="92"/>
        <v>107.6131681</v>
      </c>
      <c r="P103" s="148">
        <f t="shared" si="92"/>
        <v>103.5713354</v>
      </c>
      <c r="Q103" s="148">
        <f t="shared" si="92"/>
        <v>61.40900341</v>
      </c>
      <c r="R103" s="148">
        <f t="shared" si="92"/>
        <v>55.950616</v>
      </c>
      <c r="S103" s="148">
        <f t="shared" si="92"/>
        <v>42.40924382</v>
      </c>
      <c r="T103" s="148">
        <f t="shared" si="92"/>
        <v>9.499729184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ht="15.75" customHeight="1">
      <c r="A104" s="1"/>
      <c r="B104" s="48"/>
      <c r="C104" s="243" t="s">
        <v>64</v>
      </c>
      <c r="D104" s="244" t="s">
        <v>86</v>
      </c>
      <c r="E104" s="244">
        <f t="shared" ref="E104:H104" si="93">E103/E9</f>
        <v>0.03860264308</v>
      </c>
      <c r="F104" s="244">
        <f t="shared" si="93"/>
        <v>0.1337713994</v>
      </c>
      <c r="G104" s="244">
        <f t="shared" si="93"/>
        <v>0.2169188742</v>
      </c>
      <c r="H104" s="244">
        <f t="shared" si="93"/>
        <v>0.0002635419006</v>
      </c>
      <c r="I104" s="241"/>
      <c r="J104" s="244">
        <f t="shared" ref="J104:T104" si="94">J103/J$9</f>
        <v>-0.01107774183</v>
      </c>
      <c r="K104" s="244">
        <f t="shared" si="94"/>
        <v>0.04103028434</v>
      </c>
      <c r="L104" s="244">
        <f t="shared" si="94"/>
        <v>0.06693455592</v>
      </c>
      <c r="M104" s="244">
        <f t="shared" si="94"/>
        <v>0.04465562959</v>
      </c>
      <c r="N104" s="244">
        <f t="shared" si="94"/>
        <v>0.04109618418</v>
      </c>
      <c r="O104" s="244">
        <f t="shared" si="94"/>
        <v>0.03648042475</v>
      </c>
      <c r="P104" s="244">
        <f t="shared" si="94"/>
        <v>0.03115016233</v>
      </c>
      <c r="Q104" s="244">
        <f t="shared" si="94"/>
        <v>0.01726598528</v>
      </c>
      <c r="R104" s="244">
        <f t="shared" si="94"/>
        <v>0.0148762008</v>
      </c>
      <c r="S104" s="244">
        <f t="shared" si="94"/>
        <v>0.01081564152</v>
      </c>
      <c r="T104" s="244">
        <f t="shared" si="94"/>
        <v>0.002398731323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0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0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ht="15.75" customHeight="1">
      <c r="A119" s="1" t="s">
        <v>79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15">
    <mergeCell ref="W19:AF19"/>
    <mergeCell ref="AH19:AP19"/>
    <mergeCell ref="W23:AF23"/>
    <mergeCell ref="AH23:AP23"/>
    <mergeCell ref="W31:AF31"/>
    <mergeCell ref="AH31:AP31"/>
    <mergeCell ref="W34:AF34"/>
    <mergeCell ref="AH34:AP34"/>
    <mergeCell ref="F1:G1"/>
    <mergeCell ref="W9:AF9"/>
    <mergeCell ref="AH9:AP9"/>
    <mergeCell ref="W11:AE11"/>
    <mergeCell ref="AH11:AP11"/>
    <mergeCell ref="W17:AE17"/>
    <mergeCell ref="AH17:AP1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hidden="1" min="1" max="1" width="38.0"/>
    <col customWidth="1" min="2" max="2" width="10.44"/>
    <col customWidth="1" min="3" max="3" width="47.44"/>
    <col customWidth="1" min="4" max="4" width="14.0"/>
    <col customWidth="1" min="5" max="5" width="12.0"/>
    <col customWidth="1" min="6" max="6" width="18.67"/>
    <col customWidth="1" min="7" max="7" width="27.0"/>
    <col customWidth="1" min="8" max="8" width="10.44"/>
    <col customWidth="1" min="9" max="9" width="26.44"/>
    <col customWidth="1" min="10" max="10" width="27.0"/>
    <col customWidth="1" min="11" max="11" width="26.44"/>
    <col customWidth="1" min="12" max="12" width="11.0"/>
    <col customWidth="1" min="13" max="13" width="13.0"/>
    <col customWidth="1" min="14" max="14" width="10.44"/>
    <col customWidth="1" min="15" max="15" width="18.0"/>
    <col customWidth="1" min="16" max="16" width="10.44"/>
    <col customWidth="1" min="17" max="17" width="16.0"/>
    <col customWidth="1" min="18" max="18" width="18.0"/>
    <col customWidth="1" min="19" max="19" width="15.44"/>
    <col customWidth="1" min="20" max="26" width="10.4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24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122</v>
      </c>
      <c r="B3" s="1"/>
      <c r="C3" s="88" t="s">
        <v>13</v>
      </c>
      <c r="D3" s="89" t="s">
        <v>123</v>
      </c>
      <c r="E3" s="90" t="s">
        <v>124</v>
      </c>
      <c r="F3" s="1"/>
      <c r="G3" s="1"/>
      <c r="H3" s="1"/>
      <c r="I3" s="1"/>
      <c r="J3" s="1"/>
      <c r="K3" s="1"/>
      <c r="L3" s="1"/>
      <c r="M3" s="1"/>
      <c r="N3" s="246"/>
      <c r="O3" s="24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125</v>
      </c>
      <c r="B4" s="1"/>
      <c r="C4" s="91" t="s">
        <v>126</v>
      </c>
      <c r="D4" s="58">
        <f>D17*(1-TAXRATE)</f>
        <v>0.02448074036</v>
      </c>
      <c r="E4" s="247">
        <f>IFERROR(D10/(D10+D11),"-")</f>
        <v>0.08771072736</v>
      </c>
      <c r="F4" s="1"/>
      <c r="G4" s="1"/>
      <c r="H4" s="1"/>
      <c r="I4" s="2" t="s">
        <v>127</v>
      </c>
      <c r="J4" s="3"/>
      <c r="K4" s="4"/>
      <c r="L4" s="1"/>
      <c r="M4" s="1"/>
      <c r="N4" s="136"/>
      <c r="O4" s="13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91" t="s">
        <v>128</v>
      </c>
      <c r="D5" s="58">
        <f>D23</f>
        <v>0.06690716405</v>
      </c>
      <c r="E5" s="247">
        <f>IFERROR(D11/(D10+D11),"-")</f>
        <v>0.9122892726</v>
      </c>
      <c r="F5" s="1"/>
      <c r="G5" s="1"/>
      <c r="H5" s="1"/>
      <c r="I5" s="248" t="s">
        <v>129</v>
      </c>
      <c r="J5" s="249" t="s">
        <v>130</v>
      </c>
      <c r="K5" s="250" t="s">
        <v>131</v>
      </c>
      <c r="L5" s="1"/>
      <c r="M5" s="1"/>
      <c r="N5" s="251"/>
      <c r="O5" s="148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132</v>
      </c>
      <c r="B6" s="1"/>
      <c r="C6" s="252" t="s">
        <v>13</v>
      </c>
      <c r="D6" s="253">
        <f>D5*E5+D4*E4</f>
        <v>0.06318591157</v>
      </c>
      <c r="E6" s="254">
        <f>SUM(E4:E5)</f>
        <v>1</v>
      </c>
      <c r="F6" s="1"/>
      <c r="G6" s="1"/>
      <c r="H6" s="1"/>
      <c r="I6" s="255" t="s">
        <v>133</v>
      </c>
      <c r="J6" s="163" t="s">
        <v>134</v>
      </c>
      <c r="K6" s="68">
        <v>0.0069</v>
      </c>
      <c r="L6" s="1"/>
      <c r="M6" s="1"/>
      <c r="N6" s="251"/>
      <c r="O6" s="14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135</v>
      </c>
      <c r="B7" s="1"/>
      <c r="C7" s="1"/>
      <c r="D7" s="1"/>
      <c r="E7" s="1"/>
      <c r="F7" s="1"/>
      <c r="G7" s="1"/>
      <c r="H7" s="1"/>
      <c r="I7" s="255" t="s">
        <v>136</v>
      </c>
      <c r="J7" s="163" t="s">
        <v>137</v>
      </c>
      <c r="K7" s="68">
        <v>0.0085</v>
      </c>
      <c r="L7" s="1"/>
      <c r="M7" s="1"/>
      <c r="N7" s="251"/>
      <c r="O7" s="148"/>
      <c r="P7" s="1"/>
      <c r="Q7" s="1"/>
      <c r="R7" s="1"/>
      <c r="S7" s="1"/>
      <c r="T7" s="1"/>
      <c r="U7" s="78"/>
      <c r="V7" s="1"/>
      <c r="W7" s="1"/>
      <c r="X7" s="1"/>
      <c r="Y7" s="1"/>
      <c r="Z7" s="1"/>
    </row>
    <row r="8" ht="15.75" customHeight="1">
      <c r="A8" s="1"/>
      <c r="B8" s="1"/>
      <c r="C8" s="256" t="s">
        <v>138</v>
      </c>
      <c r="D8" s="114"/>
      <c r="E8" s="1"/>
      <c r="F8" s="1"/>
      <c r="G8" s="1"/>
      <c r="H8" s="1"/>
      <c r="I8" s="255" t="s">
        <v>136</v>
      </c>
      <c r="J8" s="163" t="s">
        <v>139</v>
      </c>
      <c r="K8" s="68">
        <v>0.0091</v>
      </c>
      <c r="L8" s="78"/>
      <c r="M8" s="1"/>
      <c r="N8" s="251"/>
      <c r="O8" s="14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91" t="s">
        <v>140</v>
      </c>
      <c r="D9" s="257">
        <v>286.6</v>
      </c>
      <c r="E9" s="1"/>
      <c r="F9" s="1"/>
      <c r="G9" s="1"/>
      <c r="H9" s="1"/>
      <c r="I9" s="255" t="s">
        <v>141</v>
      </c>
      <c r="J9" s="163" t="s">
        <v>142</v>
      </c>
      <c r="K9" s="68">
        <v>0.0102</v>
      </c>
      <c r="L9" s="1"/>
      <c r="M9" s="1"/>
      <c r="N9" s="251"/>
      <c r="O9" s="14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91" t="s">
        <v>143</v>
      </c>
      <c r="D10" s="257">
        <v>395.698</v>
      </c>
      <c r="E10" s="1"/>
      <c r="F10" s="1"/>
      <c r="G10" s="1"/>
      <c r="H10" s="1"/>
      <c r="I10" s="255" t="s">
        <v>144</v>
      </c>
      <c r="J10" s="163" t="s">
        <v>145</v>
      </c>
      <c r="K10" s="68">
        <v>0.0107</v>
      </c>
      <c r="L10" s="1"/>
      <c r="M10" s="1"/>
      <c r="N10" s="251"/>
      <c r="O10" s="14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258" t="s">
        <v>146</v>
      </c>
      <c r="D11" s="259">
        <v>4115.7</v>
      </c>
      <c r="E11" s="1"/>
      <c r="F11" s="1"/>
      <c r="G11" s="1"/>
      <c r="H11" s="1"/>
      <c r="I11" s="255" t="s">
        <v>147</v>
      </c>
      <c r="J11" s="163" t="s">
        <v>148</v>
      </c>
      <c r="K11" s="68">
        <v>0.0118</v>
      </c>
      <c r="L11" s="1"/>
      <c r="M11" s="1"/>
      <c r="N11" s="251"/>
      <c r="O11" s="14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07" t="s">
        <v>8</v>
      </c>
      <c r="D12" s="260">
        <f>D11+D10-D9</f>
        <v>4224.798</v>
      </c>
      <c r="E12" s="1"/>
      <c r="F12" s="1"/>
      <c r="G12" s="1"/>
      <c r="H12" s="1"/>
      <c r="I12" s="255" t="s">
        <v>149</v>
      </c>
      <c r="J12" s="163" t="s">
        <v>150</v>
      </c>
      <c r="K12" s="68">
        <v>0.0133</v>
      </c>
      <c r="L12" s="1"/>
      <c r="M12" s="1"/>
      <c r="N12" s="251"/>
      <c r="O12" s="14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255" t="s">
        <v>151</v>
      </c>
      <c r="J13" s="163" t="s">
        <v>152</v>
      </c>
      <c r="K13" s="68">
        <v>0.0152</v>
      </c>
      <c r="L13" s="1"/>
      <c r="M13" s="1"/>
      <c r="N13" s="251"/>
      <c r="O13" s="14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256" t="s">
        <v>153</v>
      </c>
      <c r="D14" s="114"/>
      <c r="E14" s="1"/>
      <c r="F14" s="261" t="s">
        <v>154</v>
      </c>
      <c r="G14" s="262"/>
      <c r="H14" s="1"/>
      <c r="I14" s="255" t="s">
        <v>155</v>
      </c>
      <c r="J14" s="163" t="s">
        <v>156</v>
      </c>
      <c r="K14" s="68">
        <v>0.0171</v>
      </c>
      <c r="L14" s="1"/>
      <c r="M14" s="1"/>
      <c r="N14" s="1"/>
      <c r="O14" s="26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91" t="s">
        <v>143</v>
      </c>
      <c r="D15" s="264">
        <f>D10</f>
        <v>395.698</v>
      </c>
      <c r="E15" s="1"/>
      <c r="F15" s="265" t="s">
        <v>132</v>
      </c>
      <c r="G15" s="266"/>
      <c r="H15" s="267"/>
      <c r="I15" s="255" t="s">
        <v>157</v>
      </c>
      <c r="J15" s="163" t="s">
        <v>158</v>
      </c>
      <c r="K15" s="68">
        <v>0.0201</v>
      </c>
      <c r="L15" s="1"/>
      <c r="M15" s="1"/>
      <c r="N15" s="1"/>
      <c r="O15" s="26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91" t="s">
        <v>159</v>
      </c>
      <c r="D16" s="268">
        <v>12.262</v>
      </c>
      <c r="E16" s="1"/>
      <c r="F16" s="1"/>
      <c r="G16" s="1"/>
      <c r="H16" s="267"/>
      <c r="I16" s="255" t="s">
        <v>160</v>
      </c>
      <c r="J16" s="163" t="s">
        <v>161</v>
      </c>
      <c r="K16" s="68">
        <v>0.0231</v>
      </c>
      <c r="L16" s="1"/>
      <c r="M16" s="1"/>
      <c r="N16" s="25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252" t="s">
        <v>153</v>
      </c>
      <c r="D17" s="269">
        <f>D16/D15</f>
        <v>0.03098827894</v>
      </c>
      <c r="E17" s="1"/>
      <c r="F17" s="2" t="s">
        <v>162</v>
      </c>
      <c r="G17" s="4"/>
      <c r="H17" s="1"/>
      <c r="I17" s="255" t="s">
        <v>163</v>
      </c>
      <c r="J17" s="163" t="s">
        <v>164</v>
      </c>
      <c r="K17" s="68">
        <v>0.0277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270" t="s">
        <v>122</v>
      </c>
      <c r="G18" s="4"/>
      <c r="H18" s="1"/>
      <c r="I18" s="255" t="s">
        <v>165</v>
      </c>
      <c r="J18" s="163" t="s">
        <v>166</v>
      </c>
      <c r="K18" s="68">
        <v>0.0341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256" t="s">
        <v>128</v>
      </c>
      <c r="D19" s="114"/>
      <c r="E19" s="1"/>
      <c r="F19" s="1"/>
      <c r="G19" s="1"/>
      <c r="H19" s="1"/>
      <c r="I19" s="255" t="s">
        <v>167</v>
      </c>
      <c r="J19" s="163" t="s">
        <v>168</v>
      </c>
      <c r="K19" s="68">
        <v>0.0405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91" t="s">
        <v>169</v>
      </c>
      <c r="D20" s="271">
        <v>0.0503</v>
      </c>
      <c r="E20" s="1"/>
      <c r="F20" s="1"/>
      <c r="G20" s="1"/>
      <c r="H20" s="1"/>
      <c r="I20" s="255" t="s">
        <v>170</v>
      </c>
      <c r="J20" s="163" t="s">
        <v>171</v>
      </c>
      <c r="K20" s="68">
        <v>0.0486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91" t="s">
        <v>172</v>
      </c>
      <c r="D21" s="272">
        <f>F34</f>
        <v>0.2516236978</v>
      </c>
      <c r="E21" s="1"/>
      <c r="F21" s="1"/>
      <c r="G21" s="1"/>
      <c r="H21" s="1"/>
      <c r="I21" s="255" t="s">
        <v>173</v>
      </c>
      <c r="J21" s="163" t="s">
        <v>174</v>
      </c>
      <c r="K21" s="68">
        <v>0.0594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91" t="s">
        <v>175</v>
      </c>
      <c r="D22" s="273">
        <f>11.63%-D20</f>
        <v>0.066</v>
      </c>
      <c r="E22" s="1"/>
      <c r="F22" s="1"/>
      <c r="G22" s="1"/>
      <c r="H22" s="1"/>
      <c r="I22" s="255" t="s">
        <v>176</v>
      </c>
      <c r="J22" s="163" t="s">
        <v>177</v>
      </c>
      <c r="K22" s="68">
        <v>0.0946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07" t="s">
        <v>128</v>
      </c>
      <c r="D23" s="274">
        <f>D20+(D21*D22)</f>
        <v>0.06690716405</v>
      </c>
      <c r="E23" s="1"/>
      <c r="F23" s="1"/>
      <c r="G23" s="1"/>
      <c r="H23" s="1"/>
      <c r="I23" s="255" t="s">
        <v>178</v>
      </c>
      <c r="J23" s="163" t="s">
        <v>179</v>
      </c>
      <c r="K23" s="68">
        <v>0.0997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255" t="s">
        <v>180</v>
      </c>
      <c r="J24" s="163" t="s">
        <v>181</v>
      </c>
      <c r="K24" s="68">
        <v>0.1309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88" t="s">
        <v>182</v>
      </c>
      <c r="D25" s="89"/>
      <c r="E25" s="89"/>
      <c r="F25" s="90"/>
      <c r="G25" s="1"/>
      <c r="H25" s="1"/>
      <c r="I25" s="265" t="s">
        <v>183</v>
      </c>
      <c r="J25" s="275" t="s">
        <v>184</v>
      </c>
      <c r="K25" s="74">
        <v>0.1744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91"/>
      <c r="D26" s="92" t="s">
        <v>185</v>
      </c>
      <c r="E26" s="92" t="s">
        <v>186</v>
      </c>
      <c r="F26" s="93" t="s">
        <v>187</v>
      </c>
      <c r="G26" s="24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76" t="s">
        <v>32</v>
      </c>
      <c r="D27" s="95">
        <v>0.39</v>
      </c>
      <c r="E27" s="277">
        <v>0.11</v>
      </c>
      <c r="F27" s="97">
        <f t="shared" ref="F27:F31" si="1">IFERROR(D27/(1+((1-$G$27)*(E27))),"-")</f>
        <v>0.3588186586</v>
      </c>
      <c r="G27" s="278">
        <v>0.21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76" t="s">
        <v>33</v>
      </c>
      <c r="D28" s="98">
        <v>0.41</v>
      </c>
      <c r="E28" s="277">
        <v>0.28</v>
      </c>
      <c r="F28" s="97">
        <f t="shared" si="1"/>
        <v>0.3357353423</v>
      </c>
      <c r="G28" s="27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76" t="s">
        <v>34</v>
      </c>
      <c r="D29" s="98">
        <v>0.34</v>
      </c>
      <c r="E29" s="277">
        <v>0.66</v>
      </c>
      <c r="F29" s="97">
        <f t="shared" si="1"/>
        <v>0.2234783752</v>
      </c>
      <c r="G29" s="27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76" t="s">
        <v>35</v>
      </c>
      <c r="D30" s="98">
        <v>0.05</v>
      </c>
      <c r="E30" s="277">
        <v>0.48</v>
      </c>
      <c r="F30" s="97">
        <f t="shared" si="1"/>
        <v>0.03625290023</v>
      </c>
      <c r="G30" s="279"/>
      <c r="H30" s="24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76" t="s">
        <v>36</v>
      </c>
      <c r="D31" s="280">
        <v>0.44</v>
      </c>
      <c r="E31" s="277">
        <v>1.14</v>
      </c>
      <c r="F31" s="97">
        <f t="shared" si="1"/>
        <v>0.2315058403</v>
      </c>
      <c r="G31" s="27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91"/>
      <c r="D32" s="99"/>
      <c r="E32" s="1"/>
      <c r="F32" s="100"/>
      <c r="G32" s="27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02" t="s">
        <v>37</v>
      </c>
      <c r="D33" s="103">
        <f t="shared" ref="D33:E33" si="2">IFERROR(MEDIAN(D27:D32),"-")</f>
        <v>0.39</v>
      </c>
      <c r="E33" s="103">
        <f t="shared" si="2"/>
        <v>0.48</v>
      </c>
      <c r="F33" s="104">
        <f>IFERROR(MEDIAN(F27:F31),"-")</f>
        <v>0.2315058403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07" t="s">
        <v>188</v>
      </c>
      <c r="D34" s="108"/>
      <c r="E34" s="108"/>
      <c r="F34" s="109">
        <f>IFERROR(F33*(1+((1-G27)*(E27))),"-")</f>
        <v>0.2516236978</v>
      </c>
      <c r="G34" s="28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28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I4:K4"/>
    <mergeCell ref="C8:D8"/>
    <mergeCell ref="C14:D14"/>
    <mergeCell ref="F14:G14"/>
    <mergeCell ref="F15:G15"/>
    <mergeCell ref="F17:G17"/>
    <mergeCell ref="F18:G18"/>
    <mergeCell ref="C19:D19"/>
  </mergeCells>
  <dataValidations>
    <dataValidation type="list" allowBlank="1" showErrorMessage="1" sqref="F15">
      <formula1>$A$6:$A$7</formula1>
    </dataValidation>
    <dataValidation type="list" allowBlank="1" showErrorMessage="1" sqref="F18">
      <formula1>$A$3:$A$4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44"/>
    <col customWidth="1" min="2" max="2" width="39.44"/>
    <col customWidth="1" min="3" max="3" width="24.11"/>
    <col customWidth="1" min="4" max="4" width="14.0"/>
    <col customWidth="1" min="5" max="5" width="17.0"/>
    <col customWidth="1" min="6" max="6" width="20.44"/>
    <col customWidth="1" min="7" max="7" width="11.44"/>
    <col customWidth="1" min="8" max="26" width="10.4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83" t="s">
        <v>2</v>
      </c>
      <c r="C2" s="284">
        <f>SHAREPRICE</f>
        <v>80.47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58" t="s">
        <v>189</v>
      </c>
      <c r="C3" s="285">
        <v>4.871862E7</v>
      </c>
      <c r="D3" s="9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91" t="s">
        <v>190</v>
      </c>
      <c r="C4" s="286">
        <f>C3</f>
        <v>48718620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58" t="s">
        <v>191</v>
      </c>
      <c r="C5" s="287">
        <f>G15</f>
        <v>456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91" t="s">
        <v>192</v>
      </c>
      <c r="C6" s="286">
        <f>C4+C5</f>
        <v>48719076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27" t="s">
        <v>193</v>
      </c>
      <c r="C7" s="288">
        <f>C6/1000000</f>
        <v>48.719076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56" t="s">
        <v>194</v>
      </c>
      <c r="C9" s="289"/>
      <c r="D9" s="289"/>
      <c r="E9" s="289"/>
      <c r="F9" s="289"/>
      <c r="G9" s="1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90" t="s">
        <v>195</v>
      </c>
      <c r="C10" s="92" t="s">
        <v>196</v>
      </c>
      <c r="D10" s="92" t="s">
        <v>197</v>
      </c>
      <c r="E10" s="92" t="s">
        <v>198</v>
      </c>
      <c r="F10" s="92" t="s">
        <v>199</v>
      </c>
      <c r="G10" s="93" t="s">
        <v>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91" t="s">
        <v>201</v>
      </c>
      <c r="C11" s="292">
        <v>405.0</v>
      </c>
      <c r="D11" s="293">
        <v>94.65</v>
      </c>
      <c r="E11" s="294" t="str">
        <f>IF(D11&lt;C2,C11*D11, "Out of the money")</f>
        <v>Out of the money</v>
      </c>
      <c r="F11" s="92"/>
      <c r="G11" s="9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91" t="s">
        <v>202</v>
      </c>
      <c r="C12" s="92">
        <v>223.0</v>
      </c>
      <c r="D12" s="293">
        <v>84.61</v>
      </c>
      <c r="E12" s="294" t="str">
        <f>IF(D12&lt;C2,C12*D12, "Out of the money")</f>
        <v>Out of the money</v>
      </c>
      <c r="F12" s="92"/>
      <c r="G12" s="9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91" t="s">
        <v>203</v>
      </c>
      <c r="C13" s="292">
        <v>993.0</v>
      </c>
      <c r="D13" s="293">
        <v>51.76</v>
      </c>
      <c r="E13" s="294">
        <f>IF(D13&lt;C2,C13*D13, "Out of the money")</f>
        <v>51397.68</v>
      </c>
      <c r="F13" s="292">
        <f>ROUNDDOWN(E13/C2,0)</f>
        <v>638</v>
      </c>
      <c r="G13" s="295">
        <f>IF(D13&lt;C2,C13-F13,"-")</f>
        <v>355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91" t="s">
        <v>204</v>
      </c>
      <c r="C14" s="292">
        <v>1685.0</v>
      </c>
      <c r="D14" s="293">
        <v>75.69</v>
      </c>
      <c r="E14" s="294">
        <f>IF(D14&lt;C2,C14*D14, "Out of the money")</f>
        <v>127537.65</v>
      </c>
      <c r="F14" s="292">
        <f>ROUNDDOWN(E14/C2,0)</f>
        <v>1584</v>
      </c>
      <c r="G14" s="295">
        <f>IF(D14&lt;C2,C14-F14,"-")</f>
        <v>101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96" t="s">
        <v>205</v>
      </c>
      <c r="C15" s="297"/>
      <c r="D15" s="297"/>
      <c r="E15" s="297"/>
      <c r="F15" s="297"/>
      <c r="G15" s="298">
        <f>SUM(G13:G14)</f>
        <v>456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9:G9"/>
  </mergeCell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11"/>
  </cols>
  <sheetData>
    <row r="1" ht="15.75" customHeight="1"/>
    <row r="2" ht="15.75" customHeight="1"/>
    <row r="3" ht="15.75" customHeight="1"/>
    <row r="4" ht="15.75" customHeight="1"/>
    <row r="5" ht="15.75" customHeight="1">
      <c r="E5" s="137">
        <v>2024.0</v>
      </c>
      <c r="F5" s="137">
        <f t="shared" ref="F5:N5" si="1">E5+1</f>
        <v>2025</v>
      </c>
      <c r="G5" s="137">
        <f t="shared" si="1"/>
        <v>2026</v>
      </c>
      <c r="H5" s="137">
        <f t="shared" si="1"/>
        <v>2027</v>
      </c>
      <c r="I5" s="137">
        <f t="shared" si="1"/>
        <v>2028</v>
      </c>
      <c r="J5" s="137">
        <f t="shared" si="1"/>
        <v>2029</v>
      </c>
      <c r="K5" s="137">
        <f t="shared" si="1"/>
        <v>2030</v>
      </c>
      <c r="L5" s="137">
        <f t="shared" si="1"/>
        <v>2031</v>
      </c>
      <c r="M5" s="137">
        <f t="shared" si="1"/>
        <v>2032</v>
      </c>
      <c r="N5" s="137">
        <f t="shared" si="1"/>
        <v>2033</v>
      </c>
    </row>
    <row r="6" ht="15.75" customHeight="1">
      <c r="D6" s="299" t="s">
        <v>206</v>
      </c>
      <c r="E6" s="299">
        <v>2108.8194333333336</v>
      </c>
      <c r="F6" s="299">
        <v>6539.317410000001</v>
      </c>
      <c r="G6" s="299">
        <v>6951.989093850001</v>
      </c>
      <c r="H6" s="299">
        <v>7355.981454813002</v>
      </c>
      <c r="I6" s="299">
        <v>7746.711466002976</v>
      </c>
      <c r="J6" s="299">
        <v>8119.505622037148</v>
      </c>
      <c r="K6" s="299">
        <v>8469.687593985873</v>
      </c>
      <c r="L6" s="299">
        <v>8792.671485460643</v>
      </c>
      <c r="M6" s="299">
        <v>9084.05824873714</v>
      </c>
      <c r="N6" s="299">
        <v>9339.732555323186</v>
      </c>
    </row>
    <row r="7" ht="15.75" customHeight="1">
      <c r="D7" s="299" t="s">
        <v>207</v>
      </c>
      <c r="E7" s="299">
        <v>2005.0583</v>
      </c>
      <c r="F7" s="299">
        <v>6089.89773</v>
      </c>
      <c r="G7" s="299">
        <v>6340.755163049999</v>
      </c>
      <c r="H7" s="299">
        <v>6570.385826004</v>
      </c>
      <c r="I7" s="299">
        <v>6425.213792347349</v>
      </c>
      <c r="J7" s="299">
        <v>6592.632687995854</v>
      </c>
      <c r="K7" s="299">
        <v>6731.604236711395</v>
      </c>
      <c r="L7" s="299">
        <v>6840.004388934003</v>
      </c>
      <c r="M7" s="299">
        <v>6916.110202931277</v>
      </c>
      <c r="N7" s="299">
        <v>6958.64458186467</v>
      </c>
    </row>
    <row r="8" ht="15.75" customHeight="1">
      <c r="D8" s="299" t="s">
        <v>40</v>
      </c>
      <c r="E8" s="299">
        <v>2101.4703666666665</v>
      </c>
      <c r="F8" s="299">
        <v>6505.073130000001</v>
      </c>
      <c r="G8" s="299">
        <v>6903.47743065</v>
      </c>
      <c r="H8" s="299">
        <v>7291.917223785001</v>
      </c>
      <c r="I8" s="299">
        <v>7182.072574473218</v>
      </c>
      <c r="J8" s="299">
        <v>7512.901329567416</v>
      </c>
      <c r="K8" s="299">
        <v>7821.576020823306</v>
      </c>
      <c r="L8" s="299">
        <v>8127.894330798222</v>
      </c>
      <c r="M8" s="299">
        <v>8405.987914739155</v>
      </c>
      <c r="N8" s="299">
        <v>8651.999747731752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67"/>
    <col customWidth="1" min="2" max="2" width="35.0"/>
    <col customWidth="1" min="3" max="3" width="10.44"/>
    <col customWidth="1" min="4" max="4" width="11.0"/>
    <col customWidth="1" min="5" max="5" width="14.0"/>
    <col customWidth="1" min="6" max="6" width="12.67"/>
    <col customWidth="1" min="7" max="26" width="8.67"/>
  </cols>
  <sheetData>
    <row r="1" ht="15.75" customHeight="1"/>
    <row r="2" ht="15.75" customHeight="1"/>
    <row r="3" ht="15.75" customHeight="1">
      <c r="B3" s="300"/>
      <c r="C3" s="301" t="s">
        <v>208</v>
      </c>
      <c r="D3" s="302"/>
      <c r="E3" s="302"/>
      <c r="F3" s="262"/>
    </row>
    <row r="4" ht="15.75" customHeight="1">
      <c r="B4" s="303" t="s">
        <v>209</v>
      </c>
      <c r="C4" s="304">
        <v>2023.0</v>
      </c>
      <c r="D4" s="304">
        <v>2024.0</v>
      </c>
      <c r="E4" s="304">
        <v>2025.0</v>
      </c>
      <c r="F4" s="305">
        <v>2026.0</v>
      </c>
    </row>
    <row r="5" ht="15.75" customHeight="1">
      <c r="B5" s="306" t="s">
        <v>210</v>
      </c>
      <c r="C5" s="307"/>
      <c r="D5" s="307">
        <v>0.0</v>
      </c>
      <c r="E5" s="307">
        <v>0.0</v>
      </c>
      <c r="F5" s="307">
        <v>0.0</v>
      </c>
    </row>
    <row r="6" ht="15.75" customHeight="1">
      <c r="B6" s="306" t="s">
        <v>211</v>
      </c>
      <c r="C6" s="307"/>
      <c r="D6" s="307">
        <v>0.0</v>
      </c>
      <c r="E6" s="307">
        <v>0.0</v>
      </c>
      <c r="F6" s="307">
        <v>0.0</v>
      </c>
    </row>
    <row r="7" ht="15.75" customHeight="1">
      <c r="B7" s="308" t="s">
        <v>212</v>
      </c>
      <c r="C7" s="309"/>
      <c r="D7" s="309">
        <f>SUM(D5:D6)</f>
        <v>0</v>
      </c>
      <c r="E7" s="309"/>
      <c r="F7" s="310">
        <f>SUM(F5:F6)</f>
        <v>0</v>
      </c>
    </row>
    <row r="8" ht="15.75" customHeight="1">
      <c r="B8" s="306" t="s">
        <v>213</v>
      </c>
      <c r="C8" s="307">
        <v>33.715</v>
      </c>
      <c r="D8" s="307">
        <v>34.343</v>
      </c>
      <c r="E8" s="307">
        <v>18.302</v>
      </c>
      <c r="F8" s="311">
        <v>14.157</v>
      </c>
    </row>
    <row r="9" ht="15.75" customHeight="1">
      <c r="B9" s="312" t="s">
        <v>214</v>
      </c>
      <c r="C9" s="313"/>
      <c r="D9" s="313"/>
      <c r="E9" s="313"/>
      <c r="F9" s="314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F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8.67"/>
    <col customWidth="1" min="2" max="2" width="30.67"/>
    <col customWidth="1" min="3" max="3" width="11.44"/>
    <col customWidth="1" min="4" max="4" width="11.11"/>
    <col customWidth="1" min="5" max="5" width="11.0"/>
    <col customWidth="1" min="6" max="6" width="2.44"/>
    <col customWidth="1" min="7" max="7" width="9.67"/>
    <col customWidth="1" min="8" max="8" width="12.44"/>
    <col customWidth="1" min="9" max="9" width="10.67"/>
    <col customWidth="1" min="10" max="10" width="9.0"/>
    <col customWidth="1" min="11" max="11" width="8.67"/>
    <col customWidth="1" min="12" max="12" width="10.44"/>
    <col customWidth="1" min="13" max="15" width="12.0"/>
    <col customWidth="1" min="16" max="16" width="15.0"/>
    <col customWidth="1" min="17" max="18" width="13.0"/>
    <col customWidth="1" min="19" max="19" width="3.11"/>
    <col customWidth="1" min="20" max="20" width="3.44"/>
    <col customWidth="1" min="21" max="26" width="12.0"/>
  </cols>
  <sheetData>
    <row r="1" ht="15.75" customHeight="1"/>
    <row r="2" ht="15.75" customHeight="1"/>
    <row r="3" ht="15.75" customHeight="1">
      <c r="C3" s="315" t="s">
        <v>215</v>
      </c>
      <c r="D3" s="6"/>
      <c r="E3" s="7"/>
      <c r="G3" s="316" t="s">
        <v>216</v>
      </c>
      <c r="H3" s="6"/>
      <c r="I3" s="6"/>
      <c r="J3" s="6"/>
      <c r="K3" s="6"/>
      <c r="L3" s="7"/>
    </row>
    <row r="4" ht="15.75" customHeight="1">
      <c r="C4" s="317">
        <v>2020.0</v>
      </c>
      <c r="D4" s="317">
        <v>2021.0</v>
      </c>
      <c r="E4" s="317">
        <v>2022.0</v>
      </c>
      <c r="G4" s="317">
        <v>2023.0</v>
      </c>
      <c r="H4" s="317">
        <f t="shared" ref="H4:L4" si="1">G4+1</f>
        <v>2024</v>
      </c>
      <c r="I4" s="317">
        <f t="shared" si="1"/>
        <v>2025</v>
      </c>
      <c r="J4" s="317">
        <f t="shared" si="1"/>
        <v>2026</v>
      </c>
      <c r="K4" s="317">
        <f t="shared" si="1"/>
        <v>2027</v>
      </c>
      <c r="L4" s="317">
        <f t="shared" si="1"/>
        <v>2028</v>
      </c>
      <c r="M4" s="318"/>
    </row>
    <row r="5" ht="15.75" customHeight="1">
      <c r="M5" s="318"/>
      <c r="W5" s="319"/>
    </row>
    <row r="6" ht="15.75" customHeight="1">
      <c r="A6" s="299" t="s">
        <v>79</v>
      </c>
      <c r="B6" s="319" t="s">
        <v>217</v>
      </c>
      <c r="C6" s="320">
        <f t="shared" ref="C6:E6" si="2">C7+C11</f>
        <v>65.34</v>
      </c>
      <c r="D6" s="320">
        <f t="shared" si="2"/>
        <v>89.67</v>
      </c>
      <c r="E6" s="320">
        <f t="shared" si="2"/>
        <v>81.33</v>
      </c>
      <c r="G6" s="321">
        <f t="shared" ref="G6:L6" si="3">G9+G10+G11</f>
        <v>-34.89402255</v>
      </c>
      <c r="H6" s="321">
        <f t="shared" si="3"/>
        <v>9.051675676</v>
      </c>
      <c r="I6" s="321">
        <f t="shared" si="3"/>
        <v>69.83028076</v>
      </c>
      <c r="J6" s="321">
        <f t="shared" si="3"/>
        <v>75.56335891</v>
      </c>
      <c r="K6" s="321">
        <f t="shared" si="3"/>
        <v>97.82004022</v>
      </c>
      <c r="L6" s="321">
        <f t="shared" si="3"/>
        <v>136.0486679</v>
      </c>
      <c r="M6" s="318"/>
    </row>
    <row r="7" ht="15.75" customHeight="1">
      <c r="B7" s="319" t="s">
        <v>218</v>
      </c>
      <c r="C7" s="322">
        <v>64.64</v>
      </c>
      <c r="D7" s="322">
        <v>88.97</v>
      </c>
      <c r="E7" s="323">
        <f>SHAREPRICE</f>
        <v>80.47</v>
      </c>
      <c r="G7" s="321">
        <f t="shared" ref="G7:L7" si="4">G9+G10</f>
        <v>-35.46734096</v>
      </c>
      <c r="H7" s="321">
        <f t="shared" si="4"/>
        <v>8.448727196</v>
      </c>
      <c r="I7" s="321">
        <f t="shared" si="4"/>
        <v>69.19616925</v>
      </c>
      <c r="J7" s="321">
        <f t="shared" si="4"/>
        <v>74.89647201</v>
      </c>
      <c r="K7" s="321">
        <f t="shared" si="4"/>
        <v>97.11868205</v>
      </c>
      <c r="L7" s="321">
        <f t="shared" si="4"/>
        <v>135.3110547</v>
      </c>
      <c r="M7" s="318"/>
    </row>
    <row r="8" ht="15.75" customHeight="1">
      <c r="C8" s="320"/>
      <c r="D8" s="320"/>
      <c r="E8" s="320"/>
      <c r="M8" s="318"/>
      <c r="N8" s="299">
        <v>2021.0</v>
      </c>
      <c r="O8" s="299">
        <v>2022.0</v>
      </c>
    </row>
    <row r="9" ht="15.75" customHeight="1">
      <c r="B9" s="319" t="s">
        <v>219</v>
      </c>
      <c r="G9" s="324">
        <f>Projections!J73/IRR!G50</f>
        <v>5.330415454</v>
      </c>
      <c r="H9" s="324">
        <f>Projections!K73/IRR!H50</f>
        <v>6.680352426</v>
      </c>
      <c r="I9" s="324">
        <f>Projections!L73/IRR!I50</f>
        <v>8.347302139</v>
      </c>
      <c r="J9" s="324">
        <f>Projections!M73/IRR!J50</f>
        <v>10.03794064</v>
      </c>
      <c r="K9" s="324">
        <f>Projections!N73/IRR!K50</f>
        <v>11.79528812</v>
      </c>
      <c r="L9" s="324">
        <f>Projections!O73/IRR!L50</f>
        <v>13.6302603</v>
      </c>
      <c r="M9" s="318"/>
      <c r="N9" s="299">
        <v>30.844167</v>
      </c>
      <c r="O9" s="325">
        <f>FDSO</f>
        <v>48.719076</v>
      </c>
      <c r="P9" s="324"/>
      <c r="Q9" s="324"/>
      <c r="R9" s="324"/>
    </row>
    <row r="10" ht="15.75" customHeight="1">
      <c r="B10" s="319" t="s">
        <v>220</v>
      </c>
      <c r="C10" s="320"/>
      <c r="D10" s="320"/>
      <c r="E10" s="320"/>
      <c r="G10" s="324">
        <f t="shared" ref="G10:L10" si="5">G13*G14</f>
        <v>-40.79775641</v>
      </c>
      <c r="H10" s="324">
        <f t="shared" si="5"/>
        <v>1.768374769</v>
      </c>
      <c r="I10" s="324">
        <f t="shared" si="5"/>
        <v>60.84886711</v>
      </c>
      <c r="J10" s="324">
        <f t="shared" si="5"/>
        <v>64.85853137</v>
      </c>
      <c r="K10" s="324">
        <f t="shared" si="5"/>
        <v>85.32339392</v>
      </c>
      <c r="L10" s="324">
        <f t="shared" si="5"/>
        <v>121.6807944</v>
      </c>
      <c r="M10" s="318"/>
      <c r="R10" s="299" t="s">
        <v>221</v>
      </c>
      <c r="U10" s="299" t="s">
        <v>222</v>
      </c>
      <c r="W10" s="299" t="s">
        <v>223</v>
      </c>
    </row>
    <row r="11" ht="15.75" customHeight="1">
      <c r="B11" s="326" t="s">
        <v>224</v>
      </c>
      <c r="C11" s="327">
        <v>0.7</v>
      </c>
      <c r="D11" s="328">
        <v>0.7</v>
      </c>
      <c r="E11" s="328">
        <v>0.86</v>
      </c>
      <c r="F11" s="317"/>
      <c r="G11" s="329">
        <f t="shared" ref="G11:L11" si="6">G34</f>
        <v>0.5733184064</v>
      </c>
      <c r="H11" s="329">
        <f t="shared" si="6"/>
        <v>0.6029484799</v>
      </c>
      <c r="I11" s="329">
        <f t="shared" si="6"/>
        <v>0.6341115127</v>
      </c>
      <c r="J11" s="329">
        <f t="shared" si="6"/>
        <v>0.6668869046</v>
      </c>
      <c r="K11" s="329">
        <f t="shared" si="6"/>
        <v>0.7013581724</v>
      </c>
      <c r="L11" s="329">
        <f t="shared" si="6"/>
        <v>0.7376131645</v>
      </c>
      <c r="M11" s="318"/>
      <c r="P11" s="318"/>
      <c r="Q11" s="318" t="s">
        <v>225</v>
      </c>
      <c r="R11" s="318">
        <v>11.0</v>
      </c>
      <c r="U11" s="299">
        <v>14.0</v>
      </c>
      <c r="W11" s="299">
        <v>17.0</v>
      </c>
    </row>
    <row r="12" ht="15.75" customHeight="1">
      <c r="B12" s="319"/>
      <c r="G12" s="324"/>
      <c r="H12" s="324"/>
      <c r="I12" s="324"/>
      <c r="J12" s="324"/>
      <c r="K12" s="324"/>
      <c r="L12" s="324"/>
      <c r="M12" s="318"/>
      <c r="N12" s="318"/>
      <c r="O12" s="318"/>
      <c r="P12" s="324"/>
      <c r="Q12" s="324"/>
      <c r="R12" s="324"/>
    </row>
    <row r="13" ht="15.75" customHeight="1">
      <c r="A13" s="299" t="s">
        <v>79</v>
      </c>
      <c r="B13" s="319" t="s">
        <v>225</v>
      </c>
      <c r="C13" s="330">
        <f t="shared" ref="C13:E13" si="7">C7/C14</f>
        <v>-10.28971968</v>
      </c>
      <c r="D13" s="330">
        <f t="shared" si="7"/>
        <v>-49.79324898</v>
      </c>
      <c r="E13" s="330">
        <f t="shared" si="7"/>
        <v>-26.73794226</v>
      </c>
      <c r="F13" s="331"/>
      <c r="G13" s="332">
        <v>16.5</v>
      </c>
      <c r="H13" s="332">
        <f t="shared" ref="H13:L13" si="8">G13</f>
        <v>16.5</v>
      </c>
      <c r="I13" s="332">
        <f t="shared" si="8"/>
        <v>16.5</v>
      </c>
      <c r="J13" s="332">
        <f t="shared" si="8"/>
        <v>16.5</v>
      </c>
      <c r="K13" s="332">
        <f t="shared" si="8"/>
        <v>16.5</v>
      </c>
      <c r="L13" s="332">
        <f t="shared" si="8"/>
        <v>16.5</v>
      </c>
      <c r="M13" s="318"/>
      <c r="N13" s="333"/>
      <c r="O13" s="333"/>
      <c r="P13" s="333"/>
    </row>
    <row r="14" ht="15.75" customHeight="1">
      <c r="B14" s="319" t="s">
        <v>226</v>
      </c>
      <c r="C14" s="334">
        <f>C22/IRR!N9</f>
        <v>-6.281998149</v>
      </c>
      <c r="D14" s="334">
        <f>D22/IRR!N9</f>
        <v>-1.786788406</v>
      </c>
      <c r="E14" s="334">
        <f>E22/IRR!O9</f>
        <v>-3.009580888</v>
      </c>
      <c r="G14" s="324">
        <f t="shared" ref="G14:L14" si="9">G22/G50</f>
        <v>-2.472591298</v>
      </c>
      <c r="H14" s="324">
        <f t="shared" si="9"/>
        <v>0.1071742285</v>
      </c>
      <c r="I14" s="324">
        <f t="shared" si="9"/>
        <v>3.687810128</v>
      </c>
      <c r="J14" s="324">
        <f t="shared" si="9"/>
        <v>3.930820083</v>
      </c>
      <c r="K14" s="324">
        <f t="shared" si="9"/>
        <v>5.171114783</v>
      </c>
      <c r="L14" s="324">
        <f t="shared" si="9"/>
        <v>7.374593601</v>
      </c>
      <c r="M14" s="318"/>
    </row>
    <row r="15" ht="15.75" customHeight="1">
      <c r="C15" s="335"/>
      <c r="D15" s="335"/>
      <c r="E15" s="335"/>
      <c r="G15" s="335"/>
      <c r="H15" s="335"/>
      <c r="I15" s="335"/>
      <c r="J15" s="335"/>
      <c r="K15" s="335"/>
      <c r="L15" s="335"/>
      <c r="M15" s="318"/>
    </row>
    <row r="16" ht="15.75" customHeight="1">
      <c r="B16" s="319" t="s">
        <v>227</v>
      </c>
      <c r="C16" s="336">
        <f>Projections!F43+Projections!F103</f>
        <v>62.212</v>
      </c>
      <c r="D16" s="336">
        <f>Projections!G43+Projections!G103</f>
        <v>194.425</v>
      </c>
      <c r="E16" s="336">
        <f>Projections!H43+Projections!H103</f>
        <v>111.871</v>
      </c>
      <c r="F16" s="336"/>
      <c r="G16" s="336">
        <f>Projections!J43+Projections!J103</f>
        <v>125.0958501</v>
      </c>
      <c r="H16" s="336">
        <f>Projections!K43+Projections!K103</f>
        <v>243.2613694</v>
      </c>
      <c r="I16" s="336">
        <f>Projections!L43+Projections!L103</f>
        <v>378.6357708</v>
      </c>
      <c r="J16" s="336">
        <f>Projections!M43+Projections!M103</f>
        <v>422.3834345</v>
      </c>
      <c r="K16" s="336">
        <f>Projections!N43+Projections!N103</f>
        <v>505.6083362</v>
      </c>
      <c r="L16" s="336">
        <f>Projections!O43+Projections!O103</f>
        <v>591.8328288</v>
      </c>
      <c r="M16" s="318"/>
    </row>
    <row r="17" ht="15.75" customHeight="1">
      <c r="M17" s="318"/>
    </row>
    <row r="18" ht="15.75" customHeight="1">
      <c r="B18" s="319" t="s">
        <v>228</v>
      </c>
      <c r="C18" s="336">
        <f>'DCF Analysis'!E43</f>
        <v>230.1</v>
      </c>
      <c r="D18" s="336">
        <f>'DCF Analysis'!E43</f>
        <v>230.1</v>
      </c>
      <c r="E18" s="336">
        <f>'DCF Analysis'!F43</f>
        <v>239.1</v>
      </c>
      <c r="F18" s="336"/>
      <c r="G18" s="336">
        <f>'DCF Analysis'!K43</f>
        <v>211.650894</v>
      </c>
      <c r="H18" s="336">
        <f>'DCF Analysis'!L43</f>
        <v>203.7136122</v>
      </c>
      <c r="I18" s="336">
        <f>'DCF Analysis'!M43</f>
        <v>181.5275885</v>
      </c>
      <c r="J18" s="336">
        <f>'DCF Analysis'!N43</f>
        <v>217.9434774</v>
      </c>
      <c r="K18" s="336">
        <f>'DCF Analysis'!O43</f>
        <v>255.6874625</v>
      </c>
      <c r="L18" s="336">
        <f>'DCF Analysis'!P43</f>
        <v>235.9910419</v>
      </c>
      <c r="M18" s="318"/>
    </row>
    <row r="19" ht="15.75" customHeight="1">
      <c r="M19" s="318"/>
    </row>
    <row r="20" ht="15.75" customHeight="1">
      <c r="B20" s="319" t="s">
        <v>229</v>
      </c>
      <c r="C20" s="337">
        <v>25.875</v>
      </c>
      <c r="D20" s="337">
        <v>19.437</v>
      </c>
      <c r="E20" s="337">
        <v>19.395</v>
      </c>
      <c r="G20" s="336">
        <f>'Debt Repayment Schedule'!C8</f>
        <v>33.715</v>
      </c>
      <c r="H20" s="336">
        <f>'Debt Repayment Schedule'!D8</f>
        <v>34.343</v>
      </c>
      <c r="I20" s="336">
        <f>'Debt Repayment Schedule'!E8</f>
        <v>18.302</v>
      </c>
      <c r="J20" s="336">
        <f>'Debt Repayment Schedule'!F8</f>
        <v>14.157</v>
      </c>
      <c r="K20" s="336" t="str">
        <f>'Debt Repayment Schedule'!G8</f>
        <v/>
      </c>
      <c r="L20" s="336" t="str">
        <f>'Debt Repayment Schedule'!H8</f>
        <v/>
      </c>
      <c r="M20" s="318"/>
    </row>
    <row r="21" ht="15.0" customHeight="1">
      <c r="M21" s="318"/>
    </row>
    <row r="22" ht="15.75" customHeight="1">
      <c r="B22" s="319" t="s">
        <v>230</v>
      </c>
      <c r="C22" s="336">
        <f t="shared" ref="C22:E22" si="10">C16-C18-C20</f>
        <v>-193.763</v>
      </c>
      <c r="D22" s="336">
        <f t="shared" si="10"/>
        <v>-55.112</v>
      </c>
      <c r="E22" s="336">
        <f t="shared" si="10"/>
        <v>-146.624</v>
      </c>
      <c r="F22" s="336"/>
      <c r="G22" s="336">
        <f t="shared" ref="G22:L22" si="11">G16-G18-G20</f>
        <v>-120.2700439</v>
      </c>
      <c r="H22" s="336">
        <f t="shared" si="11"/>
        <v>5.204757243</v>
      </c>
      <c r="I22" s="336">
        <f t="shared" si="11"/>
        <v>178.8061823</v>
      </c>
      <c r="J22" s="336">
        <f t="shared" si="11"/>
        <v>190.2829571</v>
      </c>
      <c r="K22" s="336">
        <f t="shared" si="11"/>
        <v>249.9208736</v>
      </c>
      <c r="L22" s="336">
        <f t="shared" si="11"/>
        <v>355.8417869</v>
      </c>
      <c r="M22" s="318"/>
    </row>
    <row r="23" ht="15.75" customHeight="1">
      <c r="B23" s="338" t="s">
        <v>83</v>
      </c>
      <c r="C23" s="339"/>
      <c r="D23" s="340">
        <f t="shared" ref="D23:E23" si="12">D22/C22-1</f>
        <v>-0.7155700521</v>
      </c>
      <c r="E23" s="340">
        <f t="shared" si="12"/>
        <v>1.660473218</v>
      </c>
      <c r="G23" s="340">
        <f>G22/E22-1</f>
        <v>-0.1797383521</v>
      </c>
      <c r="H23" s="340">
        <f t="shared" ref="H23:L23" si="13">H22/G22-1</f>
        <v>-1.043275591</v>
      </c>
      <c r="I23" s="340">
        <f t="shared" si="13"/>
        <v>33.35437504</v>
      </c>
      <c r="J23" s="340">
        <f t="shared" si="13"/>
        <v>0.06418555938</v>
      </c>
      <c r="K23" s="340">
        <f t="shared" si="13"/>
        <v>0.3134170154</v>
      </c>
      <c r="L23" s="340">
        <f t="shared" si="13"/>
        <v>0.4238177937</v>
      </c>
      <c r="M23" s="318"/>
    </row>
    <row r="24" ht="15.75" customHeight="1">
      <c r="M24" s="318"/>
    </row>
    <row r="25" ht="15.75" customHeight="1">
      <c r="B25" s="341" t="s">
        <v>231</v>
      </c>
      <c r="C25" s="342"/>
      <c r="D25" s="342"/>
      <c r="E25" s="342"/>
      <c r="F25" s="343"/>
      <c r="G25" s="342"/>
      <c r="H25" s="342"/>
      <c r="I25" s="342"/>
      <c r="J25" s="342"/>
      <c r="K25" s="342"/>
      <c r="L25" s="342"/>
      <c r="M25" s="318"/>
    </row>
    <row r="26" ht="15.75" customHeight="1">
      <c r="G26" s="299">
        <v>1.0</v>
      </c>
      <c r="H26" s="299">
        <f t="shared" ref="H26:L26" si="14">G26+1</f>
        <v>2</v>
      </c>
      <c r="I26" s="299">
        <f t="shared" si="14"/>
        <v>3</v>
      </c>
      <c r="J26" s="299">
        <f t="shared" si="14"/>
        <v>4</v>
      </c>
      <c r="K26" s="299">
        <f t="shared" si="14"/>
        <v>5</v>
      </c>
      <c r="L26" s="299">
        <f t="shared" si="14"/>
        <v>6</v>
      </c>
      <c r="M26" s="318"/>
    </row>
    <row r="27" ht="15.75" customHeight="1">
      <c r="B27" s="319" t="s">
        <v>232</v>
      </c>
      <c r="C27" s="344">
        <v>21.426</v>
      </c>
      <c r="D27" s="344">
        <v>21.531</v>
      </c>
      <c r="E27" s="344">
        <v>26.559</v>
      </c>
      <c r="G27" s="336">
        <f>E27*(1+G28)</f>
        <v>27.88695</v>
      </c>
      <c r="H27" s="336">
        <f t="shared" ref="H27:L27" si="15">G27*(1+H28)</f>
        <v>29.2812975</v>
      </c>
      <c r="I27" s="336">
        <f t="shared" si="15"/>
        <v>30.74536238</v>
      </c>
      <c r="J27" s="336">
        <f t="shared" si="15"/>
        <v>32.28263049</v>
      </c>
      <c r="K27" s="336">
        <f t="shared" si="15"/>
        <v>33.89676202</v>
      </c>
      <c r="L27" s="336">
        <f t="shared" si="15"/>
        <v>35.59160012</v>
      </c>
      <c r="M27" s="318"/>
    </row>
    <row r="28" ht="15.75" customHeight="1">
      <c r="B28" s="338" t="s">
        <v>83</v>
      </c>
      <c r="C28" s="339"/>
      <c r="D28" s="340">
        <f t="shared" ref="D28:E28" si="16">D27/C27-1</f>
        <v>0.004900588071</v>
      </c>
      <c r="E28" s="340">
        <f t="shared" si="16"/>
        <v>0.2335237564</v>
      </c>
      <c r="G28" s="345">
        <v>0.05</v>
      </c>
      <c r="H28" s="345">
        <v>0.05</v>
      </c>
      <c r="I28" s="345">
        <v>0.05</v>
      </c>
      <c r="J28" s="345">
        <v>0.05</v>
      </c>
      <c r="K28" s="345">
        <v>0.05</v>
      </c>
      <c r="L28" s="345">
        <v>0.05</v>
      </c>
      <c r="M28" s="318"/>
    </row>
    <row r="29" ht="15.75" customHeight="1">
      <c r="B29" s="338"/>
      <c r="M29" s="318"/>
    </row>
    <row r="30" ht="15.75" customHeight="1">
      <c r="B30" s="338" t="s">
        <v>233</v>
      </c>
      <c r="G30" s="336">
        <f t="shared" ref="G30:L30" si="17">G27</f>
        <v>27.88695</v>
      </c>
      <c r="H30" s="336">
        <f t="shared" si="17"/>
        <v>29.2812975</v>
      </c>
      <c r="I30" s="336">
        <f t="shared" si="17"/>
        <v>30.74536238</v>
      </c>
      <c r="J30" s="336">
        <f t="shared" si="17"/>
        <v>32.28263049</v>
      </c>
      <c r="K30" s="336">
        <f t="shared" si="17"/>
        <v>33.89676202</v>
      </c>
      <c r="L30" s="336">
        <f t="shared" si="17"/>
        <v>35.59160012</v>
      </c>
      <c r="M30" s="318"/>
    </row>
    <row r="31" ht="15.75" customHeight="1">
      <c r="B31" s="338"/>
      <c r="G31" s="336"/>
      <c r="H31" s="336"/>
      <c r="I31" s="336"/>
      <c r="J31" s="336"/>
      <c r="K31" s="336"/>
      <c r="L31" s="336"/>
      <c r="M31" s="318"/>
    </row>
    <row r="32" ht="15.75" customHeight="1">
      <c r="A32" s="299" t="s">
        <v>79</v>
      </c>
      <c r="B32" s="338" t="s">
        <v>234</v>
      </c>
      <c r="G32" s="324">
        <f t="shared" ref="G32:L32" si="18">G30/G50</f>
        <v>0.5733184064</v>
      </c>
      <c r="H32" s="324">
        <f t="shared" si="18"/>
        <v>0.6029484799</v>
      </c>
      <c r="I32" s="324">
        <f t="shared" si="18"/>
        <v>0.6341115127</v>
      </c>
      <c r="J32" s="324">
        <f t="shared" si="18"/>
        <v>0.6668869046</v>
      </c>
      <c r="K32" s="324">
        <f t="shared" si="18"/>
        <v>0.7013581724</v>
      </c>
      <c r="L32" s="324">
        <f t="shared" si="18"/>
        <v>0.7376131645</v>
      </c>
      <c r="M32" s="318"/>
    </row>
    <row r="33" ht="15.75" customHeight="1">
      <c r="B33" s="338"/>
      <c r="G33" s="324"/>
      <c r="H33" s="324"/>
      <c r="I33" s="324"/>
      <c r="J33" s="324"/>
      <c r="K33" s="324"/>
      <c r="L33" s="324"/>
      <c r="M33" s="318"/>
    </row>
    <row r="34" ht="15.75" customHeight="1">
      <c r="B34" s="338" t="s">
        <v>235</v>
      </c>
      <c r="C34" s="318">
        <f>C27/N9</f>
        <v>0.6946532224</v>
      </c>
      <c r="D34" s="318">
        <f t="shared" ref="D34:E34" si="19">D27/N9</f>
        <v>0.6980574317</v>
      </c>
      <c r="E34" s="318">
        <f t="shared" si="19"/>
        <v>0.545145807</v>
      </c>
      <c r="G34" s="324">
        <f t="shared" ref="G34:L34" si="20">G27/G50</f>
        <v>0.5733184064</v>
      </c>
      <c r="H34" s="324">
        <f t="shared" si="20"/>
        <v>0.6029484799</v>
      </c>
      <c r="I34" s="324">
        <f t="shared" si="20"/>
        <v>0.6341115127</v>
      </c>
      <c r="J34" s="324">
        <f t="shared" si="20"/>
        <v>0.6668869046</v>
      </c>
      <c r="K34" s="324">
        <f t="shared" si="20"/>
        <v>0.7013581724</v>
      </c>
      <c r="L34" s="324">
        <f t="shared" si="20"/>
        <v>0.7376131645</v>
      </c>
      <c r="M34" s="318"/>
    </row>
    <row r="35" ht="15.75" customHeight="1">
      <c r="B35" s="319"/>
      <c r="C35" s="324"/>
      <c r="D35" s="324"/>
      <c r="E35" s="324"/>
      <c r="G35" s="324"/>
      <c r="H35" s="324"/>
      <c r="I35" s="324"/>
      <c r="J35" s="324"/>
      <c r="K35" s="324"/>
      <c r="L35" s="324"/>
      <c r="M35" s="318"/>
    </row>
    <row r="36" ht="15.75" customHeight="1">
      <c r="B36" s="341" t="s">
        <v>236</v>
      </c>
      <c r="C36" s="343"/>
      <c r="D36" s="343"/>
      <c r="E36" s="343"/>
      <c r="F36" s="343"/>
      <c r="G36" s="343"/>
      <c r="H36" s="343"/>
      <c r="I36" s="343"/>
      <c r="J36" s="343"/>
      <c r="K36" s="343"/>
      <c r="L36" s="343"/>
      <c r="M36" s="318"/>
    </row>
    <row r="37" ht="15.75" customHeight="1">
      <c r="M37" s="318"/>
    </row>
    <row r="38" ht="15.75" customHeight="1">
      <c r="B38" s="299" t="s">
        <v>237</v>
      </c>
      <c r="C38" s="344">
        <v>-11.3</v>
      </c>
      <c r="D38" s="344">
        <v>18.0</v>
      </c>
      <c r="E38" s="344">
        <v>22.3</v>
      </c>
      <c r="G38" s="336">
        <f t="shared" ref="G38:L38" si="21">G40*G42</f>
        <v>13.79783444</v>
      </c>
      <c r="H38" s="336">
        <f t="shared" si="21"/>
        <v>18.35583163</v>
      </c>
      <c r="I38" s="336">
        <f t="shared" si="21"/>
        <v>25.71310856</v>
      </c>
      <c r="J38" s="336">
        <f t="shared" si="21"/>
        <v>32.50594025</v>
      </c>
      <c r="K38" s="336">
        <f t="shared" si="21"/>
        <v>40.05305456</v>
      </c>
      <c r="L38" s="336">
        <f t="shared" si="21"/>
        <v>48.42196607</v>
      </c>
      <c r="M38" s="318"/>
    </row>
    <row r="39" ht="15.75" customHeight="1">
      <c r="M39" s="318"/>
    </row>
    <row r="40" ht="15.75" customHeight="1">
      <c r="B40" s="299" t="s">
        <v>63</v>
      </c>
      <c r="C40" s="336">
        <f>Projections!F43</f>
        <v>-17.428</v>
      </c>
      <c r="D40" s="336">
        <f>Projections!G43</f>
        <v>28.071</v>
      </c>
      <c r="E40" s="336">
        <f>Projections!H43</f>
        <v>111.614</v>
      </c>
      <c r="G40" s="336">
        <f>Projections!J43</f>
        <v>137.9783444</v>
      </c>
      <c r="H40" s="336">
        <f>Projections!K43</f>
        <v>183.5583163</v>
      </c>
      <c r="I40" s="336">
        <f>Projections!L43</f>
        <v>257.1310856</v>
      </c>
      <c r="J40" s="336">
        <f>Projections!M43</f>
        <v>325.0594025</v>
      </c>
      <c r="K40" s="336">
        <f>Projections!N43</f>
        <v>400.5305456</v>
      </c>
      <c r="L40" s="336">
        <f>Projections!O43</f>
        <v>484.2196607</v>
      </c>
      <c r="M40" s="318"/>
    </row>
    <row r="41" ht="15.75" customHeight="1">
      <c r="M41" s="318"/>
    </row>
    <row r="42" ht="15.75" customHeight="1">
      <c r="B42" s="299" t="s">
        <v>238</v>
      </c>
      <c r="C42" s="346">
        <f t="shared" ref="C42:E42" si="22">C38/C40</f>
        <v>0.6483819142</v>
      </c>
      <c r="D42" s="346">
        <f t="shared" si="22"/>
        <v>0.6412311638</v>
      </c>
      <c r="E42" s="346">
        <f t="shared" si="22"/>
        <v>0.1997957246</v>
      </c>
      <c r="G42" s="347">
        <v>0.1</v>
      </c>
      <c r="H42" s="347">
        <v>0.1</v>
      </c>
      <c r="I42" s="347">
        <v>0.1</v>
      </c>
      <c r="J42" s="347">
        <v>0.1</v>
      </c>
      <c r="K42" s="347">
        <v>0.1</v>
      </c>
      <c r="L42" s="347">
        <v>0.1</v>
      </c>
      <c r="M42" s="318"/>
    </row>
    <row r="43" ht="15.75" customHeight="1">
      <c r="M43" s="318"/>
    </row>
    <row r="44" ht="15.75" customHeight="1">
      <c r="B44" s="299" t="s">
        <v>239</v>
      </c>
      <c r="D44" s="336">
        <f t="shared" ref="D44:E44" si="23">D38-C38</f>
        <v>29.3</v>
      </c>
      <c r="E44" s="336">
        <f t="shared" si="23"/>
        <v>4.3</v>
      </c>
      <c r="G44" s="336">
        <f>G38-E38</f>
        <v>-8.502165557</v>
      </c>
      <c r="H44" s="336">
        <f t="shared" ref="H44:L44" si="24">H38-G38</f>
        <v>4.557997192</v>
      </c>
      <c r="I44" s="336">
        <f t="shared" si="24"/>
        <v>7.357276923</v>
      </c>
      <c r="J44" s="336">
        <f t="shared" si="24"/>
        <v>6.792831696</v>
      </c>
      <c r="K44" s="336">
        <f t="shared" si="24"/>
        <v>7.547114311</v>
      </c>
      <c r="L44" s="336">
        <f t="shared" si="24"/>
        <v>8.36891151</v>
      </c>
      <c r="M44" s="318"/>
    </row>
    <row r="45" ht="15.75" customHeight="1">
      <c r="M45" s="318"/>
    </row>
    <row r="46" ht="15.75" customHeight="1">
      <c r="B46" s="299" t="s">
        <v>240</v>
      </c>
      <c r="C46" s="348">
        <v>3.651</v>
      </c>
      <c r="D46" s="348">
        <v>5.542</v>
      </c>
      <c r="E46" s="348">
        <v>6.259</v>
      </c>
      <c r="F46" s="349"/>
      <c r="G46" s="350">
        <f t="shared" ref="G46:L46" si="25">MEDIAN(C46:E46)</f>
        <v>5.542</v>
      </c>
      <c r="H46" s="350">
        <f t="shared" si="25"/>
        <v>5.9005</v>
      </c>
      <c r="I46" s="350">
        <f t="shared" si="25"/>
        <v>5.9005</v>
      </c>
      <c r="J46" s="350">
        <f t="shared" si="25"/>
        <v>5.72125</v>
      </c>
      <c r="K46" s="350">
        <f t="shared" si="25"/>
        <v>5.9005</v>
      </c>
      <c r="L46" s="350">
        <f t="shared" si="25"/>
        <v>5.9005</v>
      </c>
      <c r="M46" s="318"/>
    </row>
    <row r="47" ht="15.75" customHeight="1">
      <c r="M47" s="318"/>
    </row>
    <row r="48" ht="15.75" customHeight="1">
      <c r="B48" s="299" t="s">
        <v>241</v>
      </c>
      <c r="C48" s="351">
        <f t="shared" ref="C48:E48" si="26">C46/C7</f>
        <v>0.05648205446</v>
      </c>
      <c r="D48" s="351">
        <f t="shared" si="26"/>
        <v>0.06229065977</v>
      </c>
      <c r="E48" s="351">
        <f t="shared" si="26"/>
        <v>0.07778053933</v>
      </c>
      <c r="F48" s="351"/>
      <c r="G48" s="351">
        <f>E48</f>
        <v>0.07778053933</v>
      </c>
      <c r="H48" s="351">
        <f t="shared" ref="H48:L48" si="27">G48</f>
        <v>0.07778053933</v>
      </c>
      <c r="I48" s="351">
        <f t="shared" si="27"/>
        <v>0.07778053933</v>
      </c>
      <c r="J48" s="351">
        <f t="shared" si="27"/>
        <v>0.07778053933</v>
      </c>
      <c r="K48" s="351">
        <f t="shared" si="27"/>
        <v>0.07778053933</v>
      </c>
      <c r="L48" s="351">
        <f t="shared" si="27"/>
        <v>0.07778053933</v>
      </c>
      <c r="M48" s="318"/>
    </row>
    <row r="49" ht="15.75" customHeight="1">
      <c r="A49" s="299" t="s">
        <v>79</v>
      </c>
      <c r="M49" s="318"/>
    </row>
    <row r="50" ht="15.75" customHeight="1">
      <c r="B50" s="317" t="s">
        <v>242</v>
      </c>
      <c r="C50" s="317"/>
      <c r="D50" s="317"/>
      <c r="E50" s="317"/>
      <c r="F50" s="317"/>
      <c r="G50" s="352">
        <f>FDSO-G48</f>
        <v>48.64129546</v>
      </c>
      <c r="H50" s="352">
        <f t="shared" ref="H50:L50" si="28">G50-H48</f>
        <v>48.56351492</v>
      </c>
      <c r="I50" s="352">
        <f t="shared" si="28"/>
        <v>48.48573438</v>
      </c>
      <c r="J50" s="352">
        <f t="shared" si="28"/>
        <v>48.40795384</v>
      </c>
      <c r="K50" s="352">
        <f t="shared" si="28"/>
        <v>48.3301733</v>
      </c>
      <c r="L50" s="352">
        <f t="shared" si="28"/>
        <v>48.25239276</v>
      </c>
      <c r="M50" s="318"/>
    </row>
    <row r="51" ht="15.75" customHeight="1">
      <c r="M51" s="318"/>
    </row>
    <row r="52" ht="15.75" customHeight="1">
      <c r="B52" s="319" t="s">
        <v>243</v>
      </c>
      <c r="C52" s="353">
        <f>RATE((L4-G4),,-'DCF Analysis'!C7,L6,0)</f>
        <v>0.1107390959</v>
      </c>
    </row>
    <row r="53" ht="15.75" customHeight="1">
      <c r="B53" s="319" t="s">
        <v>244</v>
      </c>
      <c r="C53" s="324">
        <f>L6</f>
        <v>136.0486679</v>
      </c>
      <c r="M53" s="354" t="s">
        <v>245</v>
      </c>
      <c r="N53" s="6"/>
      <c r="O53" s="6"/>
      <c r="P53" s="6"/>
      <c r="Q53" s="6"/>
      <c r="R53" s="7"/>
      <c r="S53" s="355"/>
      <c r="T53" s="355"/>
      <c r="U53" s="354" t="s">
        <v>245</v>
      </c>
      <c r="V53" s="6"/>
      <c r="W53" s="6"/>
      <c r="X53" s="6"/>
      <c r="Y53" s="6"/>
      <c r="Z53" s="7"/>
    </row>
    <row r="54" ht="15.75" customHeight="1">
      <c r="B54" s="326" t="s">
        <v>246</v>
      </c>
      <c r="C54" s="356">
        <f>C53/SHAREPRICE-1</f>
        <v>0.6906756291</v>
      </c>
      <c r="D54" s="317"/>
      <c r="E54" s="317"/>
      <c r="F54" s="317"/>
      <c r="G54" s="317"/>
      <c r="H54" s="317"/>
      <c r="I54" s="317"/>
      <c r="J54" s="317"/>
      <c r="M54" s="1"/>
      <c r="N54" s="9" t="s">
        <v>225</v>
      </c>
      <c r="O54" s="10"/>
      <c r="P54" s="10"/>
      <c r="Q54" s="10"/>
      <c r="R54" s="10"/>
      <c r="U54" s="1"/>
      <c r="V54" s="9" t="s">
        <v>225</v>
      </c>
      <c r="W54" s="10"/>
      <c r="X54" s="10"/>
      <c r="Y54" s="10"/>
      <c r="Z54" s="10"/>
    </row>
    <row r="55" ht="14.25" customHeight="1">
      <c r="M55" s="357">
        <f>J6</f>
        <v>75.56335891</v>
      </c>
      <c r="N55" s="13">
        <f t="shared" ref="N55:O55" si="29">O55-1</f>
        <v>14.5</v>
      </c>
      <c r="O55" s="13">
        <f t="shared" si="29"/>
        <v>15.5</v>
      </c>
      <c r="P55" s="13">
        <f>J13</f>
        <v>16.5</v>
      </c>
      <c r="Q55" s="13">
        <f t="shared" ref="Q55:R55" si="30">P55+1</f>
        <v>17.5</v>
      </c>
      <c r="R55" s="13">
        <f t="shared" si="30"/>
        <v>18.5</v>
      </c>
      <c r="U55" s="357">
        <f>J6</f>
        <v>75.56335891</v>
      </c>
      <c r="V55" s="13">
        <f>X55-2</f>
        <v>14.5</v>
      </c>
      <c r="W55" s="13">
        <f>X55-1</f>
        <v>15.5</v>
      </c>
      <c r="X55" s="13">
        <f>J13</f>
        <v>16.5</v>
      </c>
      <c r="Y55" s="13">
        <f>X55+1</f>
        <v>17.5</v>
      </c>
      <c r="Z55" s="13">
        <f>X55+2</f>
        <v>18.5</v>
      </c>
    </row>
    <row r="56" ht="34.5" customHeight="1">
      <c r="L56" s="21" t="s">
        <v>238</v>
      </c>
      <c r="M56" s="358">
        <f t="shared" ref="M56:M57" si="31">M57-1</f>
        <v>-1.9</v>
      </c>
      <c r="N56" s="25">
        <v>67.70171874723401</v>
      </c>
      <c r="O56" s="25">
        <v>63.770898664445916</v>
      </c>
      <c r="P56" s="25">
        <v>63.770898664445916</v>
      </c>
      <c r="Q56" s="25">
        <v>67.70171874723401</v>
      </c>
      <c r="R56" s="25">
        <v>75.56335891281022</v>
      </c>
      <c r="T56" s="21" t="s">
        <v>247</v>
      </c>
      <c r="U56" s="80">
        <f t="shared" ref="U56:U57" si="32">U57-1%</f>
        <v>0.03</v>
      </c>
      <c r="V56" s="25">
        <v>67.68901613952829</v>
      </c>
      <c r="W56" s="25">
        <v>63.7581960567402</v>
      </c>
      <c r="X56" s="25">
        <v>63.7581960567402</v>
      </c>
      <c r="Y56" s="25">
        <v>67.68901613952829</v>
      </c>
      <c r="Z56" s="25">
        <v>75.5506563051045</v>
      </c>
    </row>
    <row r="57" ht="15.75" customHeight="1">
      <c r="L57" s="27"/>
      <c r="M57" s="358">
        <f t="shared" si="31"/>
        <v>-0.9</v>
      </c>
      <c r="N57" s="25">
        <v>67.70171874723401</v>
      </c>
      <c r="O57" s="30">
        <v>63.770898664445916</v>
      </c>
      <c r="P57" s="31">
        <v>63.770898664445916</v>
      </c>
      <c r="Q57" s="32">
        <v>67.70171874723401</v>
      </c>
      <c r="R57" s="25">
        <v>75.56335891281022</v>
      </c>
      <c r="T57" s="27"/>
      <c r="U57" s="80">
        <f t="shared" si="32"/>
        <v>0.04</v>
      </c>
      <c r="V57" s="25">
        <v>67.68266483567544</v>
      </c>
      <c r="W57" s="30">
        <v>63.751844752887344</v>
      </c>
      <c r="X57" s="31">
        <v>63.751844752887344</v>
      </c>
      <c r="Y57" s="32">
        <v>67.68266483567544</v>
      </c>
      <c r="Z57" s="25">
        <v>75.54430500125164</v>
      </c>
    </row>
    <row r="58" ht="15.75" customHeight="1">
      <c r="L58" s="27"/>
      <c r="M58" s="358">
        <f>J42</f>
        <v>0.1</v>
      </c>
      <c r="N58" s="25">
        <v>67.70171874723401</v>
      </c>
      <c r="O58" s="37">
        <v>63.770898664445916</v>
      </c>
      <c r="P58" s="38">
        <v>63.770898664445916</v>
      </c>
      <c r="Q58" s="39">
        <v>67.70171874723401</v>
      </c>
      <c r="R58" s="25">
        <v>75.56335891281022</v>
      </c>
      <c r="T58" s="27"/>
      <c r="U58" s="80">
        <f>J28</f>
        <v>0.05</v>
      </c>
      <c r="V58" s="25">
        <v>67.68266483567544</v>
      </c>
      <c r="W58" s="37">
        <v>63.751844752887344</v>
      </c>
      <c r="X58" s="38">
        <v>63.751844752887344</v>
      </c>
      <c r="Y58" s="39">
        <v>67.68266483567544</v>
      </c>
      <c r="Z58" s="25">
        <v>75.54430500125164</v>
      </c>
    </row>
    <row r="59" ht="14.25" customHeight="1">
      <c r="L59" s="27"/>
      <c r="M59" s="358">
        <f t="shared" ref="M59:M60" si="33">M58+1</f>
        <v>1.1</v>
      </c>
      <c r="N59" s="25">
        <v>67.70171874723401</v>
      </c>
      <c r="O59" s="45">
        <v>63.770898664445916</v>
      </c>
      <c r="P59" s="46">
        <v>63.770898664445916</v>
      </c>
      <c r="Q59" s="47">
        <v>67.70171874723401</v>
      </c>
      <c r="R59" s="25">
        <v>75.56335891281022</v>
      </c>
      <c r="T59" s="27"/>
      <c r="U59" s="80">
        <f t="shared" ref="U59:U60" si="34">U58+1%</f>
        <v>0.06</v>
      </c>
      <c r="V59" s="25">
        <v>67.68901613952829</v>
      </c>
      <c r="W59" s="45">
        <v>63.7581960567402</v>
      </c>
      <c r="X59" s="46">
        <v>63.7581960567402</v>
      </c>
      <c r="Y59" s="47">
        <v>67.68901613952829</v>
      </c>
      <c r="Z59" s="25">
        <v>75.5506563051045</v>
      </c>
    </row>
    <row r="60" ht="18.0" customHeight="1">
      <c r="L60" s="27"/>
      <c r="M60" s="358">
        <f t="shared" si="33"/>
        <v>2.1</v>
      </c>
      <c r="N60" s="25">
        <v>67.70171874723401</v>
      </c>
      <c r="O60" s="25">
        <v>63.770898664445916</v>
      </c>
      <c r="P60" s="25">
        <v>63.770898664445916</v>
      </c>
      <c r="Q60" s="25">
        <v>67.70171874723401</v>
      </c>
      <c r="R60" s="25">
        <v>75.56335891281022</v>
      </c>
      <c r="T60" s="27"/>
      <c r="U60" s="80">
        <f t="shared" si="34"/>
        <v>0.07</v>
      </c>
      <c r="V60" s="25">
        <v>67.70171874723401</v>
      </c>
      <c r="W60" s="25">
        <v>63.770898664445916</v>
      </c>
      <c r="X60" s="25">
        <v>63.770898664445916</v>
      </c>
      <c r="Y60" s="25">
        <v>67.70171874723401</v>
      </c>
      <c r="Z60" s="25">
        <v>75.56335891281022</v>
      </c>
    </row>
    <row r="61" ht="15.75" customHeight="1"/>
    <row r="62" ht="17.25" customHeight="1"/>
    <row r="63" ht="15.75" customHeight="1">
      <c r="A63" s="299" t="s">
        <v>79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E3"/>
    <mergeCell ref="G3:L3"/>
    <mergeCell ref="M53:R53"/>
    <mergeCell ref="U53:Z53"/>
    <mergeCell ref="N54:R54"/>
    <mergeCell ref="V54:Z54"/>
    <mergeCell ref="L56:L60"/>
    <mergeCell ref="T56:T6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2021-11-08T05:06:15Z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0x010100AE29D309F9C3D343B813EC12C4387762</vt:lpwstr>
  </property>
</Properties>
</file>