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d/Desktop/"/>
    </mc:Choice>
  </mc:AlternateContent>
  <xr:revisionPtr revIDLastSave="0" documentId="13_ncr:1_{AE03907B-C9D5-3F43-9A19-D04B5CFA2A53}" xr6:coauthVersionLast="47" xr6:coauthVersionMax="47" xr10:uidLastSave="{00000000-0000-0000-0000-000000000000}"/>
  <bookViews>
    <workbookView xWindow="0" yWindow="780" windowWidth="34200" windowHeight="19860" activeTab="2" xr2:uid="{F12B7A6D-CFA3-6A45-A384-FD8FB2AEE6D7}"/>
  </bookViews>
  <sheets>
    <sheet name="Revenue Build" sheetId="5" r:id="rId1"/>
    <sheet name="P&amp;L" sheetId="1" r:id="rId2"/>
    <sheet name="DCF" sheetId="4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45565.7675810185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4" l="1"/>
  <c r="J25" i="4" s="1"/>
  <c r="K25" i="4" s="1"/>
  <c r="Q28" i="4"/>
  <c r="K40" i="4" s="1"/>
  <c r="H29" i="4"/>
  <c r="D12" i="5" l="1"/>
  <c r="E12" i="5"/>
  <c r="F12" i="5"/>
  <c r="F14" i="5" s="1"/>
  <c r="G12" i="5"/>
  <c r="H12" i="5"/>
  <c r="E14" i="5"/>
  <c r="D15" i="5"/>
  <c r="E15" i="5"/>
  <c r="F15" i="5"/>
  <c r="G15" i="5"/>
  <c r="H15" i="5"/>
  <c r="F17" i="5"/>
  <c r="G17" i="5"/>
  <c r="H17" i="5"/>
  <c r="D18" i="5" a="1"/>
  <c r="H25" i="5" s="1"/>
  <c r="I18" i="5" a="1"/>
  <c r="D35" i="5"/>
  <c r="E35" i="5"/>
  <c r="F35" i="5"/>
  <c r="F45" i="5" s="1"/>
  <c r="G35" i="5"/>
  <c r="G45" i="5" s="1"/>
  <c r="G44" i="5" s="1"/>
  <c r="H35" i="5"/>
  <c r="H45" i="5" s="1"/>
  <c r="I36" i="5"/>
  <c r="J36" i="5"/>
  <c r="E37" i="5"/>
  <c r="F37" i="5"/>
  <c r="G37" i="5"/>
  <c r="H37" i="5"/>
  <c r="I38" i="5"/>
  <c r="J38" i="5"/>
  <c r="K38" i="5" s="1"/>
  <c r="L38" i="5" s="1"/>
  <c r="M38" i="5" s="1"/>
  <c r="E39" i="5"/>
  <c r="F39" i="5"/>
  <c r="G39" i="5"/>
  <c r="H39" i="5"/>
  <c r="I40" i="5"/>
  <c r="J40" i="5" s="1"/>
  <c r="K40" i="5" s="1"/>
  <c r="L40" i="5" s="1"/>
  <c r="M40" i="5"/>
  <c r="E41" i="5"/>
  <c r="F41" i="5"/>
  <c r="G41" i="5"/>
  <c r="H41" i="5"/>
  <c r="F44" i="5"/>
  <c r="J44" i="5"/>
  <c r="K44" i="5"/>
  <c r="L44" i="5"/>
  <c r="M44" i="5"/>
  <c r="D45" i="5"/>
  <c r="D48" i="5" s="1"/>
  <c r="E45" i="5"/>
  <c r="E48" i="5" s="1"/>
  <c r="E47" i="5" s="1"/>
  <c r="J47" i="5"/>
  <c r="K47" i="5"/>
  <c r="L47" i="5"/>
  <c r="F48" i="5"/>
  <c r="G48" i="5"/>
  <c r="G47" i="5" s="1"/>
  <c r="I48" i="5"/>
  <c r="J48" i="5"/>
  <c r="K48" i="5"/>
  <c r="L48" i="5"/>
  <c r="M47" i="5" s="1"/>
  <c r="M48" i="5"/>
  <c r="D52" i="5"/>
  <c r="D62" i="5" s="1"/>
  <c r="D65" i="5" s="1"/>
  <c r="E52" i="5"/>
  <c r="E62" i="5" s="1"/>
  <c r="F52" i="5"/>
  <c r="F62" i="5" s="1"/>
  <c r="G52" i="5"/>
  <c r="G62" i="5" s="1"/>
  <c r="H52" i="5"/>
  <c r="H62" i="5" s="1"/>
  <c r="I53" i="5"/>
  <c r="J53" i="5"/>
  <c r="K53" i="5"/>
  <c r="E54" i="5"/>
  <c r="F54" i="5"/>
  <c r="G54" i="5"/>
  <c r="H54" i="5"/>
  <c r="I55" i="5"/>
  <c r="J55" i="5" s="1"/>
  <c r="K55" i="5" s="1"/>
  <c r="L55" i="5" s="1"/>
  <c r="M55" i="5" s="1"/>
  <c r="E56" i="5"/>
  <c r="F56" i="5"/>
  <c r="G56" i="5"/>
  <c r="H56" i="5"/>
  <c r="I57" i="5"/>
  <c r="J57" i="5" s="1"/>
  <c r="K57" i="5" s="1"/>
  <c r="L57" i="5" s="1"/>
  <c r="M57" i="5"/>
  <c r="E58" i="5"/>
  <c r="F58" i="5"/>
  <c r="G58" i="5"/>
  <c r="H58" i="5"/>
  <c r="G61" i="5"/>
  <c r="J61" i="5"/>
  <c r="K61" i="5"/>
  <c r="L61" i="5"/>
  <c r="M61" i="5"/>
  <c r="J64" i="5"/>
  <c r="K64" i="5"/>
  <c r="L64" i="5"/>
  <c r="F65" i="5"/>
  <c r="G65" i="5"/>
  <c r="G64" i="5" s="1"/>
  <c r="H65" i="5"/>
  <c r="H64" i="5" s="1"/>
  <c r="I65" i="5"/>
  <c r="J65" i="5"/>
  <c r="K65" i="5"/>
  <c r="L65" i="5"/>
  <c r="M64" i="5" s="1"/>
  <c r="M65" i="5"/>
  <c r="D68" i="5"/>
  <c r="D78" i="5" s="1"/>
  <c r="D81" i="5" s="1"/>
  <c r="E68" i="5"/>
  <c r="E78" i="5" s="1"/>
  <c r="F68" i="5"/>
  <c r="F78" i="5" s="1"/>
  <c r="F77" i="5" s="1"/>
  <c r="G68" i="5"/>
  <c r="G78" i="5" s="1"/>
  <c r="H68" i="5"/>
  <c r="H78" i="5" s="1"/>
  <c r="I69" i="5"/>
  <c r="I68" i="5" s="1"/>
  <c r="I76" i="5" s="1"/>
  <c r="E70" i="5"/>
  <c r="F70" i="5"/>
  <c r="G70" i="5"/>
  <c r="H70" i="5"/>
  <c r="I71" i="5"/>
  <c r="J71" i="5"/>
  <c r="K71" i="5" s="1"/>
  <c r="L71" i="5" s="1"/>
  <c r="M71" i="5" s="1"/>
  <c r="E72" i="5"/>
  <c r="F72" i="5"/>
  <c r="G72" i="5"/>
  <c r="H72" i="5"/>
  <c r="I73" i="5"/>
  <c r="J73" i="5" s="1"/>
  <c r="K73" i="5" s="1"/>
  <c r="L73" i="5" s="1"/>
  <c r="M73" i="5"/>
  <c r="E74" i="5"/>
  <c r="F74" i="5"/>
  <c r="G74" i="5"/>
  <c r="H74" i="5"/>
  <c r="G77" i="5"/>
  <c r="J77" i="5"/>
  <c r="K77" i="5"/>
  <c r="L77" i="5"/>
  <c r="M77" i="5"/>
  <c r="H80" i="5"/>
  <c r="K80" i="5"/>
  <c r="L80" i="5"/>
  <c r="F81" i="5"/>
  <c r="G81" i="5"/>
  <c r="H81" i="5"/>
  <c r="I81" i="5"/>
  <c r="I80" i="5" s="1"/>
  <c r="J81" i="5"/>
  <c r="K81" i="5"/>
  <c r="L81" i="5"/>
  <c r="M80" i="5" s="1"/>
  <c r="M81" i="5"/>
  <c r="D84" i="5"/>
  <c r="E84" i="5"/>
  <c r="F84" i="5"/>
  <c r="G84" i="5"/>
  <c r="H84" i="5"/>
  <c r="I85" i="5"/>
  <c r="I84" i="5" s="1"/>
  <c r="I92" i="5" s="1"/>
  <c r="E86" i="5"/>
  <c r="F86" i="5"/>
  <c r="G86" i="5"/>
  <c r="H86" i="5"/>
  <c r="I87" i="5"/>
  <c r="J87" i="5" s="1"/>
  <c r="K87" i="5" s="1"/>
  <c r="L87" i="5" s="1"/>
  <c r="M87" i="5" s="1"/>
  <c r="E88" i="5"/>
  <c r="F88" i="5"/>
  <c r="G88" i="5"/>
  <c r="H88" i="5"/>
  <c r="I89" i="5"/>
  <c r="J89" i="5" s="1"/>
  <c r="K89" i="5"/>
  <c r="L89" i="5" s="1"/>
  <c r="M89" i="5" s="1"/>
  <c r="E90" i="5"/>
  <c r="F90" i="5"/>
  <c r="G90" i="5"/>
  <c r="H90" i="5"/>
  <c r="E93" i="5"/>
  <c r="F93" i="5"/>
  <c r="G93" i="5"/>
  <c r="H93" i="5"/>
  <c r="I93" i="5"/>
  <c r="J93" i="5"/>
  <c r="K93" i="5"/>
  <c r="L93" i="5"/>
  <c r="M93" i="5"/>
  <c r="G96" i="5"/>
  <c r="H96" i="5"/>
  <c r="M96" i="5"/>
  <c r="D97" i="5"/>
  <c r="E97" i="5"/>
  <c r="E96" i="5" s="1"/>
  <c r="F97" i="5"/>
  <c r="F96" i="5" s="1"/>
  <c r="G97" i="5"/>
  <c r="H97" i="5"/>
  <c r="I97" i="5"/>
  <c r="J96" i="5" s="1"/>
  <c r="J97" i="5"/>
  <c r="K97" i="5"/>
  <c r="L97" i="5"/>
  <c r="M97" i="5"/>
  <c r="I99" i="5"/>
  <c r="J99" i="5"/>
  <c r="K99" i="5" s="1"/>
  <c r="L99" i="5"/>
  <c r="M99" i="5" s="1"/>
  <c r="E100" i="5"/>
  <c r="F100" i="5"/>
  <c r="G100" i="5"/>
  <c r="H100" i="5"/>
  <c r="D112" i="5"/>
  <c r="E112" i="5"/>
  <c r="D113" i="5"/>
  <c r="E113" i="5"/>
  <c r="D114" i="5"/>
  <c r="E114" i="5"/>
  <c r="H16" i="5" l="1"/>
  <c r="E65" i="5"/>
  <c r="E64" i="5" s="1"/>
  <c r="E61" i="5"/>
  <c r="F61" i="5"/>
  <c r="E81" i="5"/>
  <c r="E80" i="5" s="1"/>
  <c r="E77" i="5"/>
  <c r="K52" i="5"/>
  <c r="L53" i="5"/>
  <c r="H13" i="5"/>
  <c r="J35" i="5"/>
  <c r="J43" i="5" s="1"/>
  <c r="G20" i="5"/>
  <c r="I35" i="5"/>
  <c r="E20" i="5"/>
  <c r="G19" i="5"/>
  <c r="F20" i="5"/>
  <c r="E16" i="5"/>
  <c r="K96" i="5"/>
  <c r="I95" i="5"/>
  <c r="J52" i="5"/>
  <c r="F47" i="5"/>
  <c r="I96" i="5"/>
  <c r="J85" i="5"/>
  <c r="G80" i="5"/>
  <c r="J69" i="5"/>
  <c r="I52" i="5"/>
  <c r="G25" i="5"/>
  <c r="H26" i="5" s="1"/>
  <c r="M20" i="5"/>
  <c r="K20" i="5"/>
  <c r="L20" i="5"/>
  <c r="F25" i="5"/>
  <c r="E44" i="5"/>
  <c r="H44" i="5"/>
  <c r="I44" i="5"/>
  <c r="E25" i="5"/>
  <c r="H19" i="5"/>
  <c r="I79" i="5"/>
  <c r="H61" i="5"/>
  <c r="I61" i="5"/>
  <c r="I18" i="5"/>
  <c r="J80" i="5"/>
  <c r="H77" i="5"/>
  <c r="I77" i="5"/>
  <c r="I64" i="5"/>
  <c r="L96" i="5"/>
  <c r="H48" i="5"/>
  <c r="K36" i="5"/>
  <c r="H20" i="5"/>
  <c r="D18" i="5"/>
  <c r="D25" i="5" s="1"/>
  <c r="H14" i="5"/>
  <c r="G14" i="5"/>
  <c r="E17" i="5"/>
  <c r="Q13" i="4"/>
  <c r="I29" i="4"/>
  <c r="J29" i="4"/>
  <c r="K29" i="4"/>
  <c r="Q15" i="4"/>
  <c r="Q12" i="4" s="1"/>
  <c r="G25" i="4"/>
  <c r="H25" i="4" s="1"/>
  <c r="F33" i="4"/>
  <c r="F36" i="4" s="1"/>
  <c r="E33" i="4"/>
  <c r="E34" i="4" s="1"/>
  <c r="D33" i="4"/>
  <c r="D36" i="4" s="1"/>
  <c r="D19" i="4"/>
  <c r="E19" i="4"/>
  <c r="F19" i="4"/>
  <c r="F29" i="4"/>
  <c r="E29" i="4"/>
  <c r="D29" i="4"/>
  <c r="F15" i="4"/>
  <c r="E15" i="4"/>
  <c r="D15" i="4"/>
  <c r="D26" i="4"/>
  <c r="E26" i="4"/>
  <c r="F26" i="4"/>
  <c r="K12" i="4"/>
  <c r="J12" i="4"/>
  <c r="I12" i="4"/>
  <c r="H12" i="4"/>
  <c r="G12" i="4"/>
  <c r="G29" i="4" s="1"/>
  <c r="F23" i="4"/>
  <c r="E23" i="4"/>
  <c r="D23" i="4"/>
  <c r="K22" i="4"/>
  <c r="J22" i="4"/>
  <c r="I22" i="4"/>
  <c r="H22" i="4"/>
  <c r="G22" i="4"/>
  <c r="G20" i="4"/>
  <c r="K14" i="4"/>
  <c r="J14" i="4"/>
  <c r="I14" i="4"/>
  <c r="H14" i="4"/>
  <c r="G14" i="4"/>
  <c r="Q10" i="4" l="1"/>
  <c r="K41" i="4" s="1"/>
  <c r="D13" i="5"/>
  <c r="D16" i="5"/>
  <c r="I43" i="5"/>
  <c r="I46" i="5"/>
  <c r="K35" i="5"/>
  <c r="L36" i="5"/>
  <c r="E26" i="5"/>
  <c r="E13" i="5"/>
  <c r="E19" i="5"/>
  <c r="I20" i="5"/>
  <c r="J84" i="5"/>
  <c r="K85" i="5"/>
  <c r="J46" i="5"/>
  <c r="F26" i="5"/>
  <c r="F13" i="5"/>
  <c r="J60" i="5"/>
  <c r="J63" i="5"/>
  <c r="F19" i="5"/>
  <c r="F16" i="5"/>
  <c r="F80" i="5"/>
  <c r="F64" i="5"/>
  <c r="H47" i="5"/>
  <c r="I47" i="5"/>
  <c r="J20" i="5"/>
  <c r="G26" i="5"/>
  <c r="G16" i="5"/>
  <c r="M53" i="5"/>
  <c r="M52" i="5" s="1"/>
  <c r="L52" i="5"/>
  <c r="I60" i="5"/>
  <c r="I63" i="5"/>
  <c r="K60" i="5"/>
  <c r="K63" i="5"/>
  <c r="D19" i="5"/>
  <c r="G13" i="5"/>
  <c r="J68" i="5"/>
  <c r="K69" i="5"/>
  <c r="D34" i="4"/>
  <c r="G33" i="4"/>
  <c r="G36" i="4" s="1"/>
  <c r="I28" i="4"/>
  <c r="K28" i="4"/>
  <c r="H28" i="4"/>
  <c r="H26" i="4"/>
  <c r="J15" i="4"/>
  <c r="G26" i="4"/>
  <c r="G15" i="4"/>
  <c r="G19" i="4"/>
  <c r="H15" i="4"/>
  <c r="I15" i="4"/>
  <c r="J28" i="4"/>
  <c r="K15" i="4"/>
  <c r="F34" i="4"/>
  <c r="E36" i="4"/>
  <c r="G23" i="4"/>
  <c r="H23" i="4"/>
  <c r="I23" i="4"/>
  <c r="J23" i="4"/>
  <c r="K23" i="4"/>
  <c r="H19" i="4"/>
  <c r="K68" i="5" l="1"/>
  <c r="L69" i="5"/>
  <c r="J76" i="5"/>
  <c r="J79" i="5"/>
  <c r="J15" i="5" s="1"/>
  <c r="K84" i="5"/>
  <c r="L85" i="5"/>
  <c r="J92" i="5"/>
  <c r="J95" i="5"/>
  <c r="L60" i="5"/>
  <c r="L63" i="5"/>
  <c r="M36" i="5"/>
  <c r="M35" i="5" s="1"/>
  <c r="L35" i="5"/>
  <c r="M60" i="5"/>
  <c r="M63" i="5"/>
  <c r="K43" i="5"/>
  <c r="K46" i="5"/>
  <c r="I15" i="5"/>
  <c r="I12" i="5"/>
  <c r="G37" i="4"/>
  <c r="G34" i="4"/>
  <c r="I26" i="4"/>
  <c r="H33" i="4"/>
  <c r="H36" i="4" s="1"/>
  <c r="H13" i="1"/>
  <c r="H16" i="1" s="1"/>
  <c r="G13" i="1"/>
  <c r="G19" i="1" s="1"/>
  <c r="G22" i="1" s="1"/>
  <c r="F13" i="1"/>
  <c r="F19" i="1" s="1"/>
  <c r="F22" i="1" s="1"/>
  <c r="E13" i="1"/>
  <c r="E19" i="1" s="1"/>
  <c r="E22" i="1" s="1"/>
  <c r="D13" i="1"/>
  <c r="D19" i="1" s="1"/>
  <c r="D22" i="1" s="1"/>
  <c r="H6" i="1"/>
  <c r="G6" i="1"/>
  <c r="F6" i="1"/>
  <c r="E6" i="1"/>
  <c r="D6" i="1"/>
  <c r="J17" i="5" l="1"/>
  <c r="L84" i="5"/>
  <c r="M85" i="5"/>
  <c r="M84" i="5" s="1"/>
  <c r="L43" i="5"/>
  <c r="L46" i="5"/>
  <c r="J12" i="5"/>
  <c r="K12" i="5"/>
  <c r="K92" i="5"/>
  <c r="K95" i="5"/>
  <c r="M46" i="5"/>
  <c r="M43" i="5"/>
  <c r="I14" i="5"/>
  <c r="I25" i="5"/>
  <c r="I13" i="5" s="1"/>
  <c r="I17" i="5"/>
  <c r="M69" i="5"/>
  <c r="M68" i="5" s="1"/>
  <c r="L68" i="5"/>
  <c r="K76" i="5"/>
  <c r="K79" i="5"/>
  <c r="K15" i="5" s="1"/>
  <c r="J19" i="4"/>
  <c r="J33" i="4"/>
  <c r="H37" i="4"/>
  <c r="H34" i="4"/>
  <c r="I33" i="4"/>
  <c r="I19" i="4"/>
  <c r="K26" i="4"/>
  <c r="J26" i="4"/>
  <c r="D16" i="1"/>
  <c r="E16" i="1"/>
  <c r="F16" i="1"/>
  <c r="G16" i="1"/>
  <c r="H19" i="1"/>
  <c r="H22" i="1" s="1"/>
  <c r="K17" i="5" l="1"/>
  <c r="I16" i="5"/>
  <c r="K25" i="5"/>
  <c r="K13" i="5"/>
  <c r="K14" i="5"/>
  <c r="J13" i="5"/>
  <c r="J14" i="5"/>
  <c r="J25" i="5"/>
  <c r="M92" i="5"/>
  <c r="M95" i="5"/>
  <c r="L76" i="5"/>
  <c r="L12" i="5" s="1"/>
  <c r="L79" i="5"/>
  <c r="L15" i="5" s="1"/>
  <c r="L92" i="5"/>
  <c r="L95" i="5"/>
  <c r="M76" i="5"/>
  <c r="M79" i="5"/>
  <c r="I26" i="5"/>
  <c r="I28" i="5"/>
  <c r="I19" i="5"/>
  <c r="M12" i="5"/>
  <c r="M15" i="5"/>
  <c r="J34" i="4"/>
  <c r="J36" i="4"/>
  <c r="J37" i="4" s="1"/>
  <c r="I34" i="4"/>
  <c r="I36" i="4"/>
  <c r="I37" i="4" s="1"/>
  <c r="K33" i="4"/>
  <c r="K36" i="4" s="1"/>
  <c r="K19" i="4"/>
  <c r="L17" i="5" l="1"/>
  <c r="L25" i="5"/>
  <c r="L13" i="5"/>
  <c r="L14" i="5"/>
  <c r="M16" i="5"/>
  <c r="M17" i="5"/>
  <c r="M13" i="5"/>
  <c r="M14" i="5"/>
  <c r="M25" i="5"/>
  <c r="K26" i="5"/>
  <c r="K28" i="5"/>
  <c r="K19" i="5"/>
  <c r="J26" i="5"/>
  <c r="J28" i="5"/>
  <c r="J19" i="5"/>
  <c r="J16" i="5"/>
  <c r="K16" i="5"/>
  <c r="K34" i="4"/>
  <c r="M28" i="5" l="1"/>
  <c r="M26" i="5"/>
  <c r="M19" i="5"/>
  <c r="L28" i="5"/>
  <c r="L26" i="5"/>
  <c r="L19" i="5"/>
  <c r="L16" i="5"/>
  <c r="K37" i="4"/>
  <c r="K38" i="4" s="1"/>
  <c r="K45" i="4" l="1"/>
  <c r="K47" i="4" l="1"/>
  <c r="K49" i="4" s="1"/>
  <c r="K5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tc={EF9B66CA-8778-654A-A669-256B3C1E46C9}</author>
    <author>tc={1E5891C5-A05D-7841-93B2-A2E3E5488292}</author>
    <author>tc={B0082326-F414-3B48-A60C-160EDF99BFC2}</author>
    <author>tc={D43B8B65-DA88-C64A-9155-730EE074D6E3}</author>
  </authors>
  <commentList>
    <comment ref="I37" authorId="0" shapeId="0" xr:uid="{EF9B66CA-8778-654A-A669-256B3C1E46C9}">
      <text>
        <t>[Threaded comment]
Your version of Excel allows you to read this threaded comment; however, any edits to it will get removed if the file is opened in a newer version of Excel. Learn more: https://go.microsoft.com/fwlink/?linkid=870924
Comment:
    Decline in AF1, Dunk classics…offset by some new Vomero and running shoes</t>
      </text>
    </comment>
    <comment ref="I39" authorId="1" shapeId="0" xr:uid="{1E5891C5-A05D-7841-93B2-A2E3E5488292}">
      <text>
        <t>[Threaded comment]
Your version of Excel allows you to read this threaded comment; however, any edits to it will get removed if the file is opened in a newer version of Excel. Learn more: https://go.microsoft.com/fwlink/?linkid=870924
Comment:
    24/7 and SKIMS good for recovery</t>
      </text>
    </comment>
    <comment ref="I45" authorId="2" shapeId="0" xr:uid="{B0082326-F414-3B48-A60C-160EDF99BF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Wholesale rising; direct digital down bec reduced promo and reset</t>
      </text>
    </comment>
    <comment ref="I62" authorId="3" shapeId="0" xr:uid="{D43B8B65-DA88-C64A-9155-730EE074D6E3}">
      <text>
        <t>[Threaded comment]
Your version of Excel allows you to read this threaded comment; however, any edits to it will get removed if the file is opened in a newer version of Excel. Learn more: https://go.microsoft.com/fwlink/?linkid=870924
Comment:
    Wholesale down in China; took bigger hit than digital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Donovan</author>
  </authors>
  <commentList>
    <comment ref="G20" authorId="0" shapeId="0" xr:uid="{EA2A5D88-2402-BC4F-BC7A-C672052A8EAD}">
      <text>
        <r>
          <rPr>
            <b/>
            <sz val="10"/>
            <color rgb="FF000000"/>
            <rFont val="Tahoma"/>
            <family val="2"/>
          </rPr>
          <t>Josh Donovan: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ptos Narrow"/>
            <scheme val="minor"/>
          </rPr>
          <t>FY25 Q3 Tax rate of 5.9% due to a one-time, non-cash deferred tax benefit arising from US tax regulations regarding foreign currency gains and losses. </t>
        </r>
      </text>
    </comment>
    <comment ref="P24" authorId="0" shapeId="0" xr:uid="{67AF7D0F-EDFE-114B-987D-32C0348660B9}">
      <text>
        <r>
          <rPr>
            <b/>
            <sz val="10"/>
            <color rgb="FF000000"/>
            <rFont val="Tahoma"/>
            <family val="2"/>
          </rPr>
          <t>Josh Donovan:</t>
        </r>
        <r>
          <rPr>
            <sz val="10"/>
            <color rgb="FF000000"/>
            <rFont val="Tahoma"/>
            <family val="2"/>
          </rPr>
          <t xml:space="preserve"> Hokas, Uggs
</t>
        </r>
      </text>
    </comment>
    <comment ref="G25" authorId="0" shapeId="0" xr:uid="{24A4C83D-D085-4E40-8E4F-EA62DB10536E}">
      <text>
        <r>
          <rPr>
            <b/>
            <sz val="10"/>
            <color rgb="FF000000"/>
            <rFont val="Tahoma"/>
            <family val="2"/>
          </rPr>
          <t>Josh Donovan: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Actual Q1-Q3 plus
</t>
        </r>
        <r>
          <rPr>
            <sz val="10"/>
            <color rgb="FF000000"/>
            <rFont val="Tahoma"/>
            <family val="2"/>
          </rPr>
          <t xml:space="preserve">Projected Q4 through avg Q4 capex 2022-24
</t>
        </r>
      </text>
    </comment>
    <comment ref="P25" authorId="0" shapeId="0" xr:uid="{57FEF36B-62C7-0C47-90CC-3D73EFD0353C}">
      <text>
        <r>
          <rPr>
            <b/>
            <sz val="10"/>
            <color rgb="FF000000"/>
            <rFont val="Tahoma"/>
            <family val="2"/>
          </rPr>
          <t>Josh Donovan: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Merell, Saucony, Chacos</t>
        </r>
      </text>
    </comment>
    <comment ref="K26" authorId="0" shapeId="0" xr:uid="{CED1DE4C-CF73-5D4E-B60F-D10BB1AAA9BB}">
      <text>
        <r>
          <rPr>
            <b/>
            <sz val="10"/>
            <color rgb="FF000000"/>
            <rFont val="Tahoma"/>
            <family val="2"/>
          </rPr>
          <t>Josh Donovan: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Assuming capex growth in line with projections</t>
        </r>
      </text>
    </comment>
    <comment ref="G28" authorId="0" shapeId="0" xr:uid="{CFE4BC41-F305-9C48-9685-3E3E592C1E0D}">
      <text>
        <r>
          <rPr>
            <b/>
            <sz val="10"/>
            <color rgb="FF000000"/>
            <rFont val="Tahoma"/>
            <family val="2"/>
          </rPr>
          <t>Josh Donovan: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As of Q3 FY25
</t>
        </r>
      </text>
    </comment>
    <comment ref="H29" authorId="0" shapeId="0" xr:uid="{9C1695AD-D8FF-D24D-A804-45709B69931F}">
      <text>
        <r>
          <rPr>
            <b/>
            <sz val="10"/>
            <color rgb="FF000000"/>
            <rFont val="Tahoma"/>
            <family val="2"/>
          </rPr>
          <t>Josh Donovan: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Estimate based on 5yr average change in WC
</t>
        </r>
      </text>
    </comment>
    <comment ref="K40" authorId="0" shapeId="0" xr:uid="{DF72C124-63FF-9843-91F2-8162928E726E}">
      <text>
        <r>
          <rPr>
            <b/>
            <sz val="10"/>
            <color rgb="FF000000"/>
            <rFont val="Tahoma"/>
            <family val="2"/>
          </rPr>
          <t>Josh Donovan: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Using deckers outdoor group, skechers, adidas, birks as comps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<sst xmlns="http://schemas.openxmlformats.org/spreadsheetml/2006/main" count="175" uniqueCount="115">
  <si>
    <t>Revenue Build</t>
  </si>
  <si>
    <t>Fiscal year</t>
  </si>
  <si>
    <t>Fiscal year end date</t>
  </si>
  <si>
    <t>% Total Revenue</t>
  </si>
  <si>
    <t>% Growth</t>
  </si>
  <si>
    <t>North America</t>
  </si>
  <si>
    <t>Total Revenue</t>
  </si>
  <si>
    <t>Nike, Inc</t>
  </si>
  <si>
    <t>USD in millions (including FX impacts)</t>
  </si>
  <si>
    <t>Consolidated Summary</t>
  </si>
  <si>
    <t>Nike Sales to Wholesale Customers</t>
  </si>
  <si>
    <t>Nike Direct Sales</t>
  </si>
  <si>
    <t>Converse Revenue</t>
  </si>
  <si>
    <t>Nike Direct Digital Sales (included in direct)</t>
  </si>
  <si>
    <t>Footwear</t>
  </si>
  <si>
    <t>Apparel</t>
  </si>
  <si>
    <t>Equipment</t>
  </si>
  <si>
    <t>Wholesale</t>
  </si>
  <si>
    <t>Direct</t>
  </si>
  <si>
    <t>% Revenue</t>
  </si>
  <si>
    <t>Greater China</t>
  </si>
  <si>
    <t>Asia Pacific &amp; Latin America</t>
  </si>
  <si>
    <t>EMEA</t>
  </si>
  <si>
    <t>% Change in % revenue</t>
  </si>
  <si>
    <t>Numbers in mm</t>
  </si>
  <si>
    <t>FY2024</t>
  </si>
  <si>
    <t>FY2025</t>
  </si>
  <si>
    <t>FY2026</t>
  </si>
  <si>
    <t>FY2027</t>
  </si>
  <si>
    <t>FY2028</t>
  </si>
  <si>
    <t>FY2029</t>
  </si>
  <si>
    <t>Revenue</t>
  </si>
  <si>
    <t>Y/Y Total revenue growth, %</t>
  </si>
  <si>
    <t>COGS</t>
  </si>
  <si>
    <t>Gross Profit, mm</t>
  </si>
  <si>
    <t>Gross Margin, %</t>
  </si>
  <si>
    <t>SM</t>
  </si>
  <si>
    <t>OPEX</t>
  </si>
  <si>
    <t>Other operating items</t>
  </si>
  <si>
    <t>EBIT</t>
  </si>
  <si>
    <t>Add back: D&amp;A</t>
  </si>
  <si>
    <t>Add back: SBC</t>
  </si>
  <si>
    <t>EBITDA</t>
  </si>
  <si>
    <t>Interest expense</t>
  </si>
  <si>
    <t>Interest income</t>
  </si>
  <si>
    <t>EBT</t>
  </si>
  <si>
    <t>Current tax</t>
  </si>
  <si>
    <t>Deferred tax</t>
  </si>
  <si>
    <t>Net income from operation</t>
  </si>
  <si>
    <t>WACC</t>
  </si>
  <si>
    <t>Cost of Debt</t>
  </si>
  <si>
    <t>Cost of Equity</t>
  </si>
  <si>
    <t>Shares Outstanding</t>
  </si>
  <si>
    <t>adca</t>
  </si>
  <si>
    <t>DCF</t>
  </si>
  <si>
    <t>USD in millions</t>
  </si>
  <si>
    <t>2022A</t>
  </si>
  <si>
    <t>2023A</t>
  </si>
  <si>
    <t>2024A</t>
  </si>
  <si>
    <t>2025F</t>
  </si>
  <si>
    <t>2026F</t>
  </si>
  <si>
    <t>Taxes</t>
  </si>
  <si>
    <t>% tax rate</t>
  </si>
  <si>
    <t>Cash Flow Items</t>
  </si>
  <si>
    <t>D&amp;A</t>
  </si>
  <si>
    <t>Change in WC</t>
  </si>
  <si>
    <t>NOPAT</t>
  </si>
  <si>
    <t>Fiscal Year</t>
  </si>
  <si>
    <t>2027F</t>
  </si>
  <si>
    <t>2028F</t>
  </si>
  <si>
    <t>2029F</t>
  </si>
  <si>
    <t>CapEx</t>
  </si>
  <si>
    <t>% revenue</t>
  </si>
  <si>
    <t>Financials</t>
  </si>
  <si>
    <t>PV of FCF</t>
  </si>
  <si>
    <t>Equity Value</t>
  </si>
  <si>
    <t>% Equity</t>
  </si>
  <si>
    <t>Debt Value</t>
  </si>
  <si>
    <t>% Debt</t>
  </si>
  <si>
    <t>Risk-Free</t>
  </si>
  <si>
    <t>ERP</t>
  </si>
  <si>
    <t>Terminal Value</t>
  </si>
  <si>
    <t>PV of Terminal Value</t>
  </si>
  <si>
    <t>Intrinsic Enterprise Value</t>
  </si>
  <si>
    <t xml:space="preserve"> </t>
  </si>
  <si>
    <t>Cash</t>
  </si>
  <si>
    <t>Current Share Price</t>
  </si>
  <si>
    <t>Unlevered FCF</t>
  </si>
  <si>
    <t>Upside Potential</t>
  </si>
  <si>
    <t>New Revenue = R * (1+ change in price) * (1+ (PED *change in price))</t>
  </si>
  <si>
    <t>Net Revenue Impact</t>
  </si>
  <si>
    <t>Volume</t>
  </si>
  <si>
    <t>PED</t>
  </si>
  <si>
    <t>Price increase</t>
  </si>
  <si>
    <t>However, for the worst case, assume nike products are elastic (PED &lt;-1). Place assumption that PED = -1.5…need a better reason for this projection</t>
  </si>
  <si>
    <t>Nike core products are generally inelastic  (0 &gt;PED &gt;-1)</t>
  </si>
  <si>
    <t>do research on if change in margins = the effect is has on demand</t>
  </si>
  <si>
    <t>27-29 keep footwear flat</t>
  </si>
  <si>
    <t>get figures on what cost sharing looks like… numbers for everywhere else</t>
  </si>
  <si>
    <t xml:space="preserve">for footwear… produced in vietnam… sensitivity table for different … if nike increases cost of 10-15% , diff elasticities of demand, or base elasticity we can find on the market for consumer apparel </t>
  </si>
  <si>
    <t>Handling tariffs -- look at elasticities for nike consumers</t>
  </si>
  <si>
    <r>
      <t xml:space="preserve">Revenues by Region and </t>
    </r>
    <r>
      <rPr>
        <b/>
        <sz val="11"/>
        <color theme="1"/>
        <rFont val="Aptos Narrow"/>
        <scheme val="minor"/>
      </rPr>
      <t>Category</t>
    </r>
    <r>
      <rPr>
        <sz val="11"/>
        <color theme="1"/>
        <rFont val="Aptos Narrow"/>
        <scheme val="minor"/>
      </rPr>
      <t xml:space="preserve"> </t>
    </r>
  </si>
  <si>
    <t>Price increase assupmtion</t>
  </si>
  <si>
    <t>Total Revenue with Tariff Impact</t>
  </si>
  <si>
    <t>Assumptions</t>
  </si>
  <si>
    <t>Intrinsic Equity Value</t>
  </si>
  <si>
    <t>Intrinsic Share Price</t>
  </si>
  <si>
    <t>Beta</t>
  </si>
  <si>
    <t>Skechers</t>
  </si>
  <si>
    <t>Deckers Outdoor Group</t>
  </si>
  <si>
    <t>Adidas</t>
  </si>
  <si>
    <t>Birkenstocks</t>
  </si>
  <si>
    <t>Comps</t>
  </si>
  <si>
    <t>Avg Comps</t>
  </si>
  <si>
    <t>Wolverine Worldwide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</si>
</sst>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&quot;A&quot;"/>
    <numFmt numFmtId="165" formatCode="#&quot;E&quot;"/>
    <numFmt numFmtId="166" formatCode="_(* #,##0_);_(* \(#,##0\);_(* &quot;-&quot;??_);_(@_)"/>
    <numFmt numFmtId="167" formatCode="_(* 0.0%_);_(* \-0.0%_);_(* &quot;-&quot;??_);_(@_)"/>
    <numFmt numFmtId="168" formatCode="0.0%"/>
    <numFmt numFmtId="169" formatCode="0.000%"/>
  </numFmts>
  <fonts count="4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rgb="FF0070C0"/>
      <name val="Aptos Narrow"/>
      <family val="2"/>
      <scheme val="minor"/>
    </font>
    <font>
      <i/>
      <sz val="11"/>
      <color theme="4"/>
      <name val="Aptos Narrow"/>
      <family val="2"/>
      <scheme val="minor"/>
    </font>
    <font>
      <sz val="11"/>
      <color theme="9"/>
      <name val="Aptos Narrow"/>
      <family val="2"/>
      <scheme val="minor"/>
    </font>
    <font>
      <i/>
      <sz val="11"/>
      <color rgb="FF0070C0"/>
      <name val="Aptos Narrow"/>
      <family val="2"/>
      <scheme val="minor"/>
    </font>
    <font>
      <sz val="10"/>
      <color rgb="FF000000"/>
      <name val="Tahoma"/>
      <family val="2"/>
    </font>
    <font>
      <sz val="11"/>
      <color theme="1"/>
      <name val="Aptos Narrow"/>
      <scheme val="minor"/>
    </font>
    <font>
      <i/>
      <sz val="11"/>
      <color theme="1"/>
      <name val="Aptos Narrow"/>
      <scheme val="minor"/>
    </font>
    <font>
      <i/>
      <sz val="11"/>
      <color rgb="FF000000"/>
      <name val="Aptos Narrow"/>
      <scheme val="minor"/>
    </font>
    <font>
      <sz val="12"/>
      <color theme="4"/>
      <name val="Aptos Narrow"/>
      <family val="2"/>
      <scheme val="minor"/>
    </font>
    <font>
      <sz val="11"/>
      <color theme="4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1"/>
      <color rgb="FFA02B93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156082"/>
      <name val="Aptos Narrow"/>
      <family val="2"/>
      <scheme val="minor"/>
    </font>
    <font>
      <sz val="11"/>
      <color rgb="FF000000"/>
      <name val="Aptos Narrow"/>
      <scheme val="minor"/>
    </font>
    <font>
      <i/>
      <sz val="11"/>
      <color rgb="FF156082"/>
      <name val="Aptos Narrow"/>
      <family val="2"/>
      <scheme val="minor"/>
    </font>
    <font>
      <sz val="12"/>
      <color rgb="FF156082"/>
      <name val="Aptos Narrow"/>
      <family val="2"/>
      <scheme val="minor"/>
    </font>
    <font>
      <sz val="11"/>
      <color theme="4"/>
      <name val="Aptos Narrow"/>
      <scheme val="minor"/>
    </font>
    <font>
      <sz val="11"/>
      <color rgb="FF156082"/>
      <name val="Aptos Narrow"/>
      <scheme val="minor"/>
    </font>
    <font>
      <i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8"/>
      <name val="Aptos Narrow"/>
      <scheme val="minor"/>
    </font>
    <font>
      <b/>
      <i/>
      <sz val="11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  <font>
      <b/>
      <sz val="10"/>
      <color rgb="FF000000"/>
      <name val="Tahoma"/>
      <family val="2"/>
    </font>
    <font>
      <sz val="11"/>
      <color theme="0"/>
      <name val="Aptos Narrow"/>
      <scheme val="minor"/>
    </font>
    <font>
      <sz val="10"/>
      <color rgb="FF000000"/>
      <name val="Aptos Narrow"/>
      <scheme val="minor"/>
    </font>
    <font>
      <u/>
      <sz val="12"/>
      <color theme="1"/>
      <name val="Aptos Narrow"/>
      <family val="2"/>
      <scheme val="minor"/>
    </font>
    <font>
      <sz val="11"/>
      <name val="Calibri"/>
      <family val="2"/>
    </font>
    <font>
      <b/>
      <u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9">
    <xf numFmtId="0" fontId="0" fillId="0" borderId="0" xfId="0"/>
    <xf numFmtId="0" fontId="3" fillId="0" borderId="0" xfId="2" applyFont="1"/>
    <xf numFmtId="0" fontId="2" fillId="0" borderId="0" xfId="2"/>
    <xf numFmtId="0" fontId="4" fillId="0" borderId="0" xfId="2" applyFont="1"/>
    <xf numFmtId="0" fontId="5" fillId="2" borderId="0" xfId="2" applyFont="1" applyFill="1"/>
    <xf numFmtId="164" fontId="2" fillId="0" borderId="0" xfId="2" applyNumberFormat="1"/>
    <xf numFmtId="165" fontId="6" fillId="0" borderId="0" xfId="2" applyNumberFormat="1" applyFont="1"/>
    <xf numFmtId="0" fontId="2" fillId="0" borderId="1" xfId="2" applyBorder="1"/>
    <xf numFmtId="14" fontId="2" fillId="0" borderId="1" xfId="2" applyNumberFormat="1" applyBorder="1"/>
    <xf numFmtId="41" fontId="2" fillId="0" borderId="0" xfId="2" applyNumberFormat="1"/>
    <xf numFmtId="0" fontId="2" fillId="0" borderId="0" xfId="2" applyAlignment="1">
      <alignment horizontal="left" indent="1"/>
    </xf>
    <xf numFmtId="41" fontId="7" fillId="0" borderId="0" xfId="2" applyNumberFormat="1" applyFont="1"/>
    <xf numFmtId="0" fontId="2" fillId="0" borderId="0" xfId="2" applyAlignment="1">
      <alignment horizontal="left" indent="2"/>
    </xf>
    <xf numFmtId="9" fontId="0" fillId="0" borderId="0" xfId="3" applyFont="1"/>
    <xf numFmtId="9" fontId="2" fillId="0" borderId="0" xfId="3" applyFont="1"/>
    <xf numFmtId="0" fontId="2" fillId="0" borderId="0" xfId="2" applyAlignment="1">
      <alignment horizontal="left"/>
    </xf>
    <xf numFmtId="41" fontId="2" fillId="0" borderId="0" xfId="3" applyNumberFormat="1" applyFont="1"/>
    <xf numFmtId="0" fontId="3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41" fontId="2" fillId="0" borderId="1" xfId="2" applyNumberFormat="1" applyBorder="1"/>
    <xf numFmtId="41" fontId="8" fillId="0" borderId="0" xfId="2" applyNumberFormat="1" applyFont="1"/>
    <xf numFmtId="166" fontId="2" fillId="0" borderId="0" xfId="2" applyNumberFormat="1"/>
    <xf numFmtId="41" fontId="4" fillId="0" borderId="0" xfId="2" applyNumberFormat="1" applyFont="1"/>
    <xf numFmtId="9" fontId="4" fillId="0" borderId="0" xfId="3" applyFont="1" applyBorder="1"/>
    <xf numFmtId="0" fontId="2" fillId="0" borderId="0" xfId="2" applyAlignment="1">
      <alignment horizontal="left" indent="3"/>
    </xf>
    <xf numFmtId="0" fontId="13" fillId="0" borderId="0" xfId="2" applyFont="1" applyAlignment="1">
      <alignment horizontal="left" indent="2"/>
    </xf>
    <xf numFmtId="44" fontId="2" fillId="0" borderId="0" xfId="2" applyNumberFormat="1"/>
    <xf numFmtId="44" fontId="7" fillId="0" borderId="0" xfId="2" applyNumberFormat="1" applyFont="1"/>
    <xf numFmtId="41" fontId="4" fillId="0" borderId="0" xfId="3" applyNumberFormat="1" applyFont="1" applyBorder="1"/>
    <xf numFmtId="41" fontId="9" fillId="0" borderId="0" xfId="3" applyNumberFormat="1" applyFont="1" applyBorder="1"/>
    <xf numFmtId="41" fontId="8" fillId="0" borderId="0" xfId="3" applyNumberFormat="1" applyFont="1"/>
    <xf numFmtId="41" fontId="10" fillId="0" borderId="0" xfId="4" applyNumberFormat="1" applyFont="1"/>
    <xf numFmtId="9" fontId="2" fillId="0" borderId="0" xfId="1" applyFont="1"/>
    <xf numFmtId="9" fontId="14" fillId="0" borderId="0" xfId="1" applyFont="1"/>
    <xf numFmtId="9" fontId="15" fillId="0" borderId="0" xfId="0" applyNumberFormat="1" applyFont="1"/>
    <xf numFmtId="0" fontId="4" fillId="0" borderId="0" xfId="2" applyFont="1" applyAlignment="1">
      <alignment horizontal="left" indent="3"/>
    </xf>
    <xf numFmtId="9" fontId="4" fillId="0" borderId="0" xfId="3" applyFont="1" applyFill="1" applyBorder="1"/>
    <xf numFmtId="9" fontId="11" fillId="0" borderId="0" xfId="3" applyFont="1" applyFill="1" applyBorder="1"/>
    <xf numFmtId="41" fontId="16" fillId="0" borderId="0" xfId="3" applyNumberFormat="1" applyFont="1" applyBorder="1"/>
    <xf numFmtId="41" fontId="17" fillId="0" borderId="0" xfId="3" applyNumberFormat="1" applyFont="1"/>
    <xf numFmtId="41" fontId="17" fillId="0" borderId="0" xfId="2" applyNumberFormat="1" applyFont="1"/>
    <xf numFmtId="0" fontId="18" fillId="0" borderId="0" xfId="0" applyFont="1" applyAlignment="1">
      <alignment horizontal="left"/>
    </xf>
    <xf numFmtId="41" fontId="19" fillId="0" borderId="0" xfId="0" applyNumberFormat="1" applyFont="1"/>
    <xf numFmtId="0" fontId="20" fillId="0" borderId="0" xfId="0" applyFont="1"/>
    <xf numFmtId="0" fontId="20" fillId="0" borderId="0" xfId="0" applyFont="1" applyAlignment="1">
      <alignment horizontal="left" indent="1"/>
    </xf>
    <xf numFmtId="41" fontId="20" fillId="0" borderId="0" xfId="0" applyNumberFormat="1" applyFont="1"/>
    <xf numFmtId="0" fontId="20" fillId="0" borderId="0" xfId="0" applyFont="1" applyAlignment="1">
      <alignment horizontal="left" indent="2"/>
    </xf>
    <xf numFmtId="41" fontId="21" fillId="0" borderId="0" xfId="0" applyNumberFormat="1" applyFont="1"/>
    <xf numFmtId="0" fontId="22" fillId="0" borderId="0" xfId="0" applyFont="1" applyAlignment="1">
      <alignment horizontal="left" indent="2"/>
    </xf>
    <xf numFmtId="41" fontId="18" fillId="0" borderId="0" xfId="0" applyNumberFormat="1" applyFont="1"/>
    <xf numFmtId="41" fontId="23" fillId="0" borderId="0" xfId="0" applyNumberFormat="1" applyFont="1"/>
    <xf numFmtId="0" fontId="20" fillId="0" borderId="0" xfId="0" applyFont="1" applyAlignment="1">
      <alignment horizontal="left" indent="3"/>
    </xf>
    <xf numFmtId="41" fontId="24" fillId="0" borderId="0" xfId="0" applyNumberFormat="1" applyFont="1"/>
    <xf numFmtId="41" fontId="25" fillId="0" borderId="0" xfId="3" applyNumberFormat="1" applyFont="1" applyBorder="1"/>
    <xf numFmtId="41" fontId="26" fillId="0" borderId="0" xfId="0" applyNumberFormat="1" applyFont="1"/>
    <xf numFmtId="9" fontId="27" fillId="0" borderId="0" xfId="3" applyFont="1"/>
    <xf numFmtId="9" fontId="14" fillId="0" borderId="0" xfId="3" applyFont="1"/>
    <xf numFmtId="0" fontId="28" fillId="0" borderId="0" xfId="2" applyFont="1" applyAlignment="1">
      <alignment horizontal="left" indent="1"/>
    </xf>
    <xf numFmtId="41" fontId="29" fillId="0" borderId="0" xfId="2" applyNumberFormat="1" applyFont="1"/>
    <xf numFmtId="41" fontId="28" fillId="0" borderId="0" xfId="3" applyNumberFormat="1" applyFont="1"/>
    <xf numFmtId="0" fontId="28" fillId="0" borderId="0" xfId="2" applyFont="1" applyAlignment="1">
      <alignment horizontal="left" indent="2"/>
    </xf>
    <xf numFmtId="9" fontId="30" fillId="0" borderId="0" xfId="3" applyFont="1"/>
    <xf numFmtId="9" fontId="27" fillId="0" borderId="0" xfId="1" applyFont="1"/>
    <xf numFmtId="0" fontId="32" fillId="0" borderId="0" xfId="0" applyFont="1"/>
    <xf numFmtId="39" fontId="0" fillId="0" borderId="0" xfId="0" applyNumberFormat="1"/>
    <xf numFmtId="2" fontId="0" fillId="0" borderId="0" xfId="0" applyNumberFormat="1"/>
    <xf numFmtId="0" fontId="0" fillId="2" borderId="0" xfId="0" applyFill="1"/>
    <xf numFmtId="0" fontId="32" fillId="2" borderId="0" xfId="0" applyFont="1" applyFill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3" fillId="0" borderId="0" xfId="0" applyFont="1"/>
    <xf numFmtId="166" fontId="0" fillId="0" borderId="0" xfId="0" applyNumberFormat="1"/>
    <xf numFmtId="43" fontId="0" fillId="0" borderId="0" xfId="0" applyNumberFormat="1"/>
    <xf numFmtId="167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5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166" fontId="0" fillId="0" borderId="0" xfId="5" applyNumberFormat="1" applyFont="1" applyBorder="1" applyAlignment="1">
      <alignment horizontal="right"/>
    </xf>
    <xf numFmtId="0" fontId="13" fillId="0" borderId="0" xfId="0" applyFont="1"/>
    <xf numFmtId="167" fontId="13" fillId="0" borderId="0" xfId="0" applyNumberFormat="1" applyFont="1" applyAlignment="1">
      <alignment horizontal="right"/>
    </xf>
    <xf numFmtId="0" fontId="2" fillId="0" borderId="0" xfId="0" applyFont="1"/>
    <xf numFmtId="167" fontId="2" fillId="0" borderId="0" xfId="0" applyNumberFormat="1" applyFont="1" applyAlignment="1">
      <alignment horizontal="right"/>
    </xf>
    <xf numFmtId="0" fontId="6" fillId="3" borderId="0" xfId="0" applyFon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6" fontId="0" fillId="3" borderId="0" xfId="5" applyNumberFormat="1" applyFont="1" applyFill="1" applyAlignment="1">
      <alignment horizontal="right"/>
    </xf>
    <xf numFmtId="167" fontId="13" fillId="3" borderId="0" xfId="0" applyNumberFormat="1" applyFont="1" applyFill="1" applyAlignment="1">
      <alignment horizontal="right"/>
    </xf>
    <xf numFmtId="0" fontId="0" fillId="3" borderId="0" xfId="0" applyFill="1"/>
    <xf numFmtId="167" fontId="2" fillId="3" borderId="0" xfId="0" applyNumberFormat="1" applyFont="1" applyFill="1" applyAlignment="1">
      <alignment horizontal="right"/>
    </xf>
    <xf numFmtId="167" fontId="0" fillId="3" borderId="0" xfId="0" applyNumberFormat="1" applyFill="1" applyAlignment="1">
      <alignment horizontal="right"/>
    </xf>
    <xf numFmtId="166" fontId="0" fillId="3" borderId="0" xfId="0" applyNumberFormat="1" applyFill="1"/>
    <xf numFmtId="43" fontId="0" fillId="3" borderId="0" xfId="0" applyNumberFormat="1" applyFill="1"/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0" fontId="31" fillId="2" borderId="3" xfId="0" applyFont="1" applyFill="1" applyBorder="1" applyAlignment="1">
      <alignment horizontal="right"/>
    </xf>
    <xf numFmtId="0" fontId="0" fillId="2" borderId="1" xfId="0" applyFill="1" applyBorder="1"/>
    <xf numFmtId="0" fontId="2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5" fillId="2" borderId="1" xfId="0" applyFont="1" applyFill="1" applyBorder="1" applyAlignment="1">
      <alignment horizontal="left"/>
    </xf>
    <xf numFmtId="0" fontId="5" fillId="2" borderId="3" xfId="0" applyFont="1" applyFill="1" applyBorder="1"/>
    <xf numFmtId="43" fontId="2" fillId="3" borderId="1" xfId="0" applyNumberFormat="1" applyFont="1" applyFill="1" applyBorder="1"/>
    <xf numFmtId="169" fontId="2" fillId="0" borderId="0" xfId="1" applyNumberFormat="1" applyFont="1"/>
    <xf numFmtId="168" fontId="2" fillId="0" borderId="0" xfId="1" applyNumberFormat="1" applyFont="1"/>
    <xf numFmtId="0" fontId="2" fillId="0" borderId="0" xfId="2" applyAlignment="1">
      <alignment wrapText="1"/>
    </xf>
    <xf numFmtId="0" fontId="28" fillId="0" borderId="0" xfId="2" applyFont="1"/>
    <xf numFmtId="10" fontId="27" fillId="0" borderId="0" xfId="1" applyNumberFormat="1" applyFont="1"/>
    <xf numFmtId="43" fontId="2" fillId="3" borderId="0" xfId="0" applyNumberFormat="1" applyFont="1" applyFill="1"/>
    <xf numFmtId="43" fontId="0" fillId="3" borderId="2" xfId="0" applyNumberFormat="1" applyFill="1" applyBorder="1"/>
    <xf numFmtId="0" fontId="0" fillId="0" borderId="1" xfId="0" applyBorder="1"/>
    <xf numFmtId="0" fontId="33" fillId="0" borderId="1" xfId="0" applyFont="1" applyBorder="1"/>
    <xf numFmtId="0" fontId="37" fillId="0" borderId="0" xfId="0" applyFont="1"/>
    <xf numFmtId="0" fontId="38" fillId="0" borderId="0" xfId="0" applyFont="1"/>
    <xf numFmtId="10" fontId="2" fillId="0" borderId="0" xfId="0" applyNumberFormat="1" applyFont="1"/>
    <xf numFmtId="0" fontId="32" fillId="0" borderId="1" xfId="0" applyFont="1" applyBorder="1"/>
    <xf numFmtId="2" fontId="0" fillId="0" borderId="1" xfId="0" applyNumberFormat="1" applyBorder="1"/>
    <xf numFmtId="0" fontId="39" fillId="0" borderId="0" xfId="0" applyFont="1"/>
    <xf numFmtId="2" fontId="37" fillId="0" borderId="0" xfId="0" applyNumberFormat="1" applyFont="1"/>
    <xf numFmtId="0" fontId="0" fillId="0" borderId="1" xfId="0" applyFont="1" applyBorder="1"/>
    <xf numFmtId="2" fontId="0" fillId="0" borderId="1" xfId="0" applyNumberFormat="1" applyFont="1" applyBorder="1"/>
    <xf numFmtId="39" fontId="0" fillId="0" borderId="1" xfId="0" applyNumberFormat="1" applyBorder="1"/>
    <xf numFmtId="0" fontId="32" fillId="0" borderId="0" xfId="0" applyFont="1" applyBorder="1"/>
    <xf numFmtId="0" fontId="0" fillId="0" borderId="0" xfId="0" applyBorder="1"/>
    <xf numFmtId="2" fontId="0" fillId="0" borderId="0" xfId="0" applyNumberFormat="1" applyBorder="1"/>
    <xf numFmtId="9" fontId="0" fillId="4" borderId="0" xfId="1" applyNumberFormat="1" applyFont="1" applyFill="1" applyBorder="1"/>
    <xf numFmtId="43" fontId="0" fillId="3" borderId="0" xfId="5" applyFont="1" applyFill="1"/>
    <xf numFmtId="166" fontId="2" fillId="3" borderId="0" xfId="5" applyNumberFormat="1" applyFont="1" applyFill="1"/>
    <xf numFmtId="43" fontId="0" fillId="4" borderId="0" xfId="0" applyNumberFormat="1" applyFill="1"/>
    <xf numFmtId="166" fontId="0" fillId="3" borderId="0" xfId="0" applyNumberFormat="1" applyFill="1" applyBorder="1" applyAlignment="1">
      <alignment horizontal="right"/>
    </xf>
  </cellXfs>
  <cellStyles count="6">
    <cellStyle name="Comma" xfId="5" builtinId="3"/>
    <cellStyle name="Comma 2" xfId="4" xr:uid="{7F60BEC0-B869-8943-9097-832CF6970510}"/>
    <cellStyle name="Normal" xfId="0" builtinId="0"/>
    <cellStyle name="Normal 2" xfId="2" xr:uid="{8DEB6A76-E33B-3F45-B397-293020B634FD}"/>
    <cellStyle name="Percent" xfId="1" builtinId="5"/>
    <cellStyle name="Percent 2" xfId="3" xr:uid="{38C47311-778E-484E-904C-DC2460C7AD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Chen" id="{BD91F5B4-85CF-794C-94D1-C9393DD9083A}" userId="S::AChen@ssvfunds.com::d6653b35-3761-4331-8d21-ccbe47081a9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7" dT="2025-04-06T19:29:22.68" personId="{BD91F5B4-85CF-794C-94D1-C9393DD9083A}" id="{EF9B66CA-8778-654A-A669-256B3C1E46C9}">
    <text>Decline in AF1, Dunk classics…offset by some new Vomero and running shoes</text>
  </threadedComment>
  <threadedComment ref="I39" dT="2025-04-06T19:29:54.46" personId="{BD91F5B4-85CF-794C-94D1-C9393DD9083A}" id="{1E5891C5-A05D-7841-93B2-A2E3E5488292}">
    <text>24/7 and SKIMS good for recovery</text>
  </threadedComment>
  <threadedComment ref="I45" dT="2025-04-06T19:38:25.55" personId="{BD91F5B4-85CF-794C-94D1-C9393DD9083A}" id="{B0082326-F414-3B48-A60C-160EDF99BFC2}">
    <text>Wholesale rising; direct digital down bec reduced promo and reset</text>
  </threadedComment>
  <threadedComment ref="I62" dT="2025-04-06T19:53:52.13" personId="{BD91F5B4-85CF-794C-94D1-C9393DD9083A}" id="{D43B8B65-DA88-C64A-9155-730EE074D6E3}">
    <text>Wholesale down in China; took bigger hit than digital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BFF0-7859-D54D-B045-E2E75682F7D8}">
  <dimension ref="B2:M120"/>
  <sheetViews>
    <sheetView showGridLines="0" zoomScale="112" zoomScaleNormal="125" workbookViewId="0">
      <selection activeCell="I31" sqref="I31"/>
    </sheetView>
  </sheetViews>
  <sheetFormatPr baseColWidth="10" defaultRowHeight="15" x14ac:dyDescent="0.2"/>
  <cols>
    <col min="1" max="1" width="10.83203125" style="2"/>
    <col min="2" max="2" width="32.33203125" style="2" bestFit="1" customWidth="1"/>
    <col min="3" max="6" width="10.83203125" style="2"/>
    <col min="7" max="7" width="11.1640625" style="2" bestFit="1" customWidth="1"/>
    <col min="8" max="8" width="14.83203125" style="2" bestFit="1" customWidth="1"/>
    <col min="9" max="12" width="11.1640625" style="2" bestFit="1" customWidth="1"/>
    <col min="13" max="16384" width="10.83203125" style="2"/>
  </cols>
  <sheetData>
    <row r="2" spans="2:13" x14ac:dyDescent="0.2">
      <c r="B2" s="1" t="s">
        <v>7</v>
      </c>
    </row>
    <row r="4" spans="2:13" x14ac:dyDescent="0.2">
      <c r="B4" s="1" t="s">
        <v>0</v>
      </c>
    </row>
    <row r="5" spans="2:13" x14ac:dyDescent="0.2">
      <c r="B5" s="3" t="s">
        <v>8</v>
      </c>
    </row>
    <row r="7" spans="2:13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2">
      <c r="B8" s="2" t="s">
        <v>1</v>
      </c>
      <c r="C8" s="5"/>
      <c r="D8" s="5">
        <v>2020</v>
      </c>
      <c r="E8" s="5">
        <v>2021</v>
      </c>
      <c r="F8" s="5">
        <v>2022</v>
      </c>
      <c r="G8" s="5">
        <v>2023</v>
      </c>
      <c r="H8" s="5">
        <v>2024</v>
      </c>
      <c r="I8" s="6">
        <v>2025</v>
      </c>
      <c r="J8" s="6">
        <v>2026</v>
      </c>
      <c r="K8" s="6">
        <v>2027</v>
      </c>
      <c r="L8" s="6">
        <v>2028</v>
      </c>
      <c r="M8" s="6">
        <v>2029</v>
      </c>
    </row>
    <row r="9" spans="2:13" x14ac:dyDescent="0.2">
      <c r="B9" s="7" t="s">
        <v>2</v>
      </c>
      <c r="C9" s="8"/>
      <c r="D9" s="8">
        <v>43982</v>
      </c>
      <c r="E9" s="8">
        <v>44347</v>
      </c>
      <c r="F9" s="8">
        <v>44712</v>
      </c>
      <c r="G9" s="8">
        <v>45077</v>
      </c>
      <c r="H9" s="8">
        <v>45443</v>
      </c>
      <c r="I9" s="8">
        <v>45808</v>
      </c>
      <c r="J9" s="8">
        <v>46173</v>
      </c>
      <c r="K9" s="8">
        <v>46538</v>
      </c>
      <c r="L9" s="8">
        <v>46904</v>
      </c>
      <c r="M9" s="8">
        <v>47269</v>
      </c>
    </row>
    <row r="11" spans="2:13" x14ac:dyDescent="0.2">
      <c r="B11" s="1" t="s">
        <v>9</v>
      </c>
      <c r="C11" s="9"/>
      <c r="D11" s="9"/>
      <c r="E11" s="9"/>
      <c r="F11" s="9"/>
      <c r="G11" s="9"/>
    </row>
    <row r="12" spans="2:13" x14ac:dyDescent="0.2">
      <c r="B12" s="10" t="s">
        <v>10</v>
      </c>
      <c r="C12" s="11"/>
      <c r="D12" s="40">
        <f t="shared" ref="D12:M12" si="0">D43+D60+D76+D92</f>
        <v>23156</v>
      </c>
      <c r="E12" s="40">
        <f t="shared" si="0"/>
        <v>25898</v>
      </c>
      <c r="F12" s="40">
        <f t="shared" si="0"/>
        <v>25608</v>
      </c>
      <c r="G12" s="40">
        <f t="shared" si="0"/>
        <v>27397</v>
      </c>
      <c r="H12" s="40">
        <f t="shared" si="0"/>
        <v>27758</v>
      </c>
      <c r="I12" s="11">
        <f t="shared" si="0"/>
        <v>24184.901700000002</v>
      </c>
      <c r="J12" s="11">
        <f t="shared" si="0"/>
        <v>24746.917300000001</v>
      </c>
      <c r="K12" s="11">
        <f t="shared" si="0"/>
        <v>24266.075935000001</v>
      </c>
      <c r="L12" s="11">
        <f t="shared" si="0"/>
        <v>24587.766693820002</v>
      </c>
      <c r="M12" s="11">
        <f t="shared" si="0"/>
        <v>25395.659044369408</v>
      </c>
    </row>
    <row r="13" spans="2:13" ht="16" x14ac:dyDescent="0.2">
      <c r="B13" s="12" t="s">
        <v>3</v>
      </c>
      <c r="C13" s="11"/>
      <c r="D13" s="55">
        <f t="shared" ref="D13:M13" si="1">D12/D25</f>
        <v>0.61940937299379417</v>
      </c>
      <c r="E13" s="55">
        <f t="shared" si="1"/>
        <v>0.58233085242731542</v>
      </c>
      <c r="F13" s="55">
        <f t="shared" si="1"/>
        <v>0.54858611825192805</v>
      </c>
      <c r="G13" s="55">
        <f t="shared" si="1"/>
        <v>0.53580927794727373</v>
      </c>
      <c r="H13" s="55">
        <f t="shared" si="1"/>
        <v>0.54047002472789574</v>
      </c>
      <c r="I13" s="55">
        <f t="shared" si="1"/>
        <v>0.52123239580805458</v>
      </c>
      <c r="J13" s="55">
        <f t="shared" si="1"/>
        <v>0.52438190768516713</v>
      </c>
      <c r="K13" s="55">
        <f t="shared" si="1"/>
        <v>0.49779961983991183</v>
      </c>
      <c r="L13" s="55">
        <f t="shared" si="1"/>
        <v>0.48377862146278428</v>
      </c>
      <c r="M13" s="55">
        <f t="shared" si="1"/>
        <v>0.47362913012606966</v>
      </c>
    </row>
    <row r="14" spans="2:13" ht="16" x14ac:dyDescent="0.2">
      <c r="B14" s="12" t="s">
        <v>4</v>
      </c>
      <c r="C14" s="9"/>
      <c r="D14" s="13"/>
      <c r="E14" s="62">
        <f t="shared" ref="E14:M14" si="2">(E12/D12)-1</f>
        <v>0.1184142338918639</v>
      </c>
      <c r="F14" s="62">
        <f t="shared" si="2"/>
        <v>-1.1197775890030126E-2</v>
      </c>
      <c r="G14" s="62">
        <f t="shared" si="2"/>
        <v>6.9860980943455164E-2</v>
      </c>
      <c r="H14" s="62">
        <f t="shared" si="2"/>
        <v>1.3176625177939272E-2</v>
      </c>
      <c r="I14" s="62">
        <f t="shared" si="2"/>
        <v>-0.12872318971107422</v>
      </c>
      <c r="J14" s="62">
        <f t="shared" si="2"/>
        <v>2.3238283412166938E-2</v>
      </c>
      <c r="K14" s="62">
        <f t="shared" si="2"/>
        <v>-1.9430354058685095E-2</v>
      </c>
      <c r="L14" s="62">
        <f t="shared" si="2"/>
        <v>1.325681002901713E-2</v>
      </c>
      <c r="M14" s="62">
        <f t="shared" si="2"/>
        <v>3.2857492126459276E-2</v>
      </c>
    </row>
    <row r="15" spans="2:13" x14ac:dyDescent="0.2">
      <c r="B15" s="10" t="s">
        <v>11</v>
      </c>
      <c r="C15" s="11"/>
      <c r="D15" s="40">
        <f t="shared" ref="D15:M15" si="3">D46+D63+D79+D95</f>
        <v>12382</v>
      </c>
      <c r="E15" s="40">
        <f t="shared" si="3"/>
        <v>16370</v>
      </c>
      <c r="F15" s="40">
        <f t="shared" si="3"/>
        <v>18726</v>
      </c>
      <c r="G15" s="40">
        <f t="shared" si="3"/>
        <v>21308</v>
      </c>
      <c r="H15" s="40">
        <f t="shared" si="3"/>
        <v>21519</v>
      </c>
      <c r="I15" s="11">
        <f t="shared" si="3"/>
        <v>20132.558300000001</v>
      </c>
      <c r="J15" s="11">
        <f t="shared" si="3"/>
        <v>20259.528699999995</v>
      </c>
      <c r="K15" s="11">
        <f t="shared" si="3"/>
        <v>22185.193364999999</v>
      </c>
      <c r="L15" s="11">
        <f t="shared" si="3"/>
        <v>23826.475678179999</v>
      </c>
      <c r="M15" s="11">
        <f t="shared" si="3"/>
        <v>25692.949822370603</v>
      </c>
    </row>
    <row r="16" spans="2:13" x14ac:dyDescent="0.2">
      <c r="B16" s="12" t="s">
        <v>3</v>
      </c>
      <c r="C16" s="11"/>
      <c r="D16" s="56">
        <f t="shared" ref="D16:M16" si="4">D15/D25</f>
        <v>0.33121121335330622</v>
      </c>
      <c r="E16" s="56">
        <f t="shared" si="4"/>
        <v>0.36808850313673463</v>
      </c>
      <c r="F16" s="56">
        <f t="shared" si="4"/>
        <v>0.40115681233933159</v>
      </c>
      <c r="G16" s="56">
        <f t="shared" si="4"/>
        <v>0.41672533833998276</v>
      </c>
      <c r="H16" s="56">
        <f t="shared" si="4"/>
        <v>0.41899180279989873</v>
      </c>
      <c r="I16" s="56">
        <f t="shared" si="4"/>
        <v>0.43389639232870381</v>
      </c>
      <c r="J16" s="56">
        <f t="shared" si="4"/>
        <v>0.42929509884887324</v>
      </c>
      <c r="K16" s="56">
        <f t="shared" si="4"/>
        <v>0.45511193704141578</v>
      </c>
      <c r="L16" s="56">
        <f t="shared" si="4"/>
        <v>0.46879977760662828</v>
      </c>
      <c r="M16" s="56">
        <f t="shared" si="4"/>
        <v>0.47917360417705623</v>
      </c>
    </row>
    <row r="17" spans="2:13" ht="16" x14ac:dyDescent="0.2">
      <c r="B17" s="12" t="s">
        <v>4</v>
      </c>
      <c r="C17" s="11"/>
      <c r="D17" s="55"/>
      <c r="E17" s="62">
        <f t="shared" ref="E17:M17" si="5">(E15/D15)-1</f>
        <v>0.32208043934743991</v>
      </c>
      <c r="F17" s="62">
        <f t="shared" si="5"/>
        <v>0.14392180818570566</v>
      </c>
      <c r="G17" s="62">
        <f t="shared" si="5"/>
        <v>0.13788315710776455</v>
      </c>
      <c r="H17" s="62">
        <f t="shared" si="5"/>
        <v>9.9023840810963382E-3</v>
      </c>
      <c r="I17" s="62">
        <f t="shared" si="5"/>
        <v>-6.4428723453692105E-2</v>
      </c>
      <c r="J17" s="62">
        <f t="shared" si="5"/>
        <v>6.3067195985715419E-3</v>
      </c>
      <c r="K17" s="62">
        <f t="shared" si="5"/>
        <v>9.5049825369333707E-2</v>
      </c>
      <c r="L17" s="62">
        <f t="shared" si="5"/>
        <v>7.3980978492138583E-2</v>
      </c>
      <c r="M17" s="62">
        <f t="shared" si="5"/>
        <v>7.8336140409548616E-2</v>
      </c>
    </row>
    <row r="18" spans="2:13" x14ac:dyDescent="0.2">
      <c r="B18" s="10" t="s">
        <v>12</v>
      </c>
      <c r="C18" s="11"/>
      <c r="D18" s="39" cm="1">
        <f t="array" ref="D18:H18">D99:H99</f>
        <v>1846</v>
      </c>
      <c r="E18" s="39">
        <v>2205</v>
      </c>
      <c r="F18" s="39">
        <v>2346</v>
      </c>
      <c r="G18" s="39">
        <v>2427</v>
      </c>
      <c r="H18" s="39">
        <v>2082</v>
      </c>
      <c r="I18" s="16" cm="1">
        <f t="array" ref="I18:M18">I99:M99</f>
        <v>2082</v>
      </c>
      <c r="J18" s="16">
        <v>2186.1</v>
      </c>
      <c r="K18" s="16">
        <v>2295.4050000000002</v>
      </c>
      <c r="L18" s="16">
        <v>2410.1752500000002</v>
      </c>
      <c r="M18" s="16">
        <v>2530.6840125000003</v>
      </c>
    </row>
    <row r="19" spans="2:13" x14ac:dyDescent="0.2">
      <c r="B19" s="12" t="s">
        <v>3</v>
      </c>
      <c r="C19" s="11"/>
      <c r="D19" s="56">
        <f t="shared" ref="D19:M19" si="6">D18/D25</f>
        <v>4.9379413652899634E-2</v>
      </c>
      <c r="E19" s="56">
        <f t="shared" si="6"/>
        <v>4.9580644435949901E-2</v>
      </c>
      <c r="F19" s="56">
        <f t="shared" si="6"/>
        <v>5.0257069408740362E-2</v>
      </c>
      <c r="G19" s="56">
        <f t="shared" si="6"/>
        <v>4.7465383712743489E-2</v>
      </c>
      <c r="H19" s="56">
        <f t="shared" si="6"/>
        <v>4.0538172472205453E-2</v>
      </c>
      <c r="I19" s="56">
        <f t="shared" si="6"/>
        <v>4.4871211863241507E-2</v>
      </c>
      <c r="J19" s="56">
        <f t="shared" si="6"/>
        <v>4.6322993465959646E-2</v>
      </c>
      <c r="K19" s="56">
        <f t="shared" si="6"/>
        <v>4.7088443118672413E-2</v>
      </c>
      <c r="L19" s="56">
        <f t="shared" si="6"/>
        <v>4.7421600930587449E-2</v>
      </c>
      <c r="M19" s="56">
        <f t="shared" si="6"/>
        <v>4.7197265696874102E-2</v>
      </c>
    </row>
    <row r="20" spans="2:13" ht="16" x14ac:dyDescent="0.2">
      <c r="B20" s="12" t="s">
        <v>4</v>
      </c>
      <c r="C20" s="11"/>
      <c r="D20" s="55"/>
      <c r="E20" s="62">
        <f t="shared" ref="E20:M20" si="7">(E18/D18)-1</f>
        <v>0.19447453954496208</v>
      </c>
      <c r="F20" s="62">
        <f t="shared" si="7"/>
        <v>6.3945578231292544E-2</v>
      </c>
      <c r="G20" s="62">
        <f t="shared" si="7"/>
        <v>3.4526854219948833E-2</v>
      </c>
      <c r="H20" s="62">
        <f t="shared" si="7"/>
        <v>-0.14215080346106301</v>
      </c>
      <c r="I20" s="62">
        <f t="shared" si="7"/>
        <v>0</v>
      </c>
      <c r="J20" s="62">
        <f t="shared" si="7"/>
        <v>5.0000000000000044E-2</v>
      </c>
      <c r="K20" s="62">
        <f t="shared" si="7"/>
        <v>5.0000000000000044E-2</v>
      </c>
      <c r="L20" s="62">
        <f t="shared" si="7"/>
        <v>5.0000000000000044E-2</v>
      </c>
      <c r="M20" s="62">
        <f t="shared" si="7"/>
        <v>5.0000000000000044E-2</v>
      </c>
    </row>
    <row r="21" spans="2:13" x14ac:dyDescent="0.2">
      <c r="B21" s="12"/>
      <c r="C21" s="11"/>
      <c r="D21" s="14"/>
      <c r="E21" s="14"/>
      <c r="F21" s="14"/>
      <c r="G21" s="14"/>
      <c r="H21" s="14"/>
      <c r="I21" s="14"/>
      <c r="J21" s="14"/>
      <c r="K21" s="14"/>
      <c r="L21" s="14"/>
    </row>
    <row r="22" spans="2:13" x14ac:dyDescent="0.2">
      <c r="B22" s="10" t="s">
        <v>13</v>
      </c>
      <c r="C22" s="11"/>
      <c r="D22" s="14"/>
      <c r="E22" s="14"/>
      <c r="F22" s="14"/>
      <c r="G22" s="14"/>
      <c r="H22" s="14"/>
      <c r="I22" s="14"/>
      <c r="J22" s="14"/>
      <c r="K22" s="14"/>
      <c r="L22" s="14"/>
    </row>
    <row r="23" spans="2:13" x14ac:dyDescent="0.2">
      <c r="B23" s="12" t="s">
        <v>4</v>
      </c>
      <c r="C23" s="11"/>
      <c r="D23" s="14"/>
      <c r="E23" s="14"/>
      <c r="F23" s="14"/>
      <c r="G23" s="14"/>
      <c r="H23" s="14"/>
      <c r="I23" s="14"/>
      <c r="J23" s="14"/>
      <c r="K23" s="14"/>
      <c r="L23" s="14"/>
    </row>
    <row r="24" spans="2:13" x14ac:dyDescent="0.2">
      <c r="B24" s="12"/>
      <c r="C24" s="11"/>
      <c r="D24" s="14"/>
      <c r="E24" s="14"/>
      <c r="F24" s="14"/>
      <c r="G24" s="14"/>
      <c r="H24" s="14"/>
      <c r="I24" s="14"/>
      <c r="J24" s="14"/>
      <c r="K24" s="14"/>
      <c r="L24" s="14"/>
    </row>
    <row r="25" spans="2:13" x14ac:dyDescent="0.2">
      <c r="B25" s="57" t="s">
        <v>6</v>
      </c>
      <c r="C25" s="58"/>
      <c r="D25" s="59">
        <f t="shared" ref="D25:M25" si="8">D12+D15+D18</f>
        <v>37384</v>
      </c>
      <c r="E25" s="59">
        <f t="shared" si="8"/>
        <v>44473</v>
      </c>
      <c r="F25" s="59">
        <f t="shared" si="8"/>
        <v>46680</v>
      </c>
      <c r="G25" s="59">
        <f t="shared" si="8"/>
        <v>51132</v>
      </c>
      <c r="H25" s="59">
        <f t="shared" si="8"/>
        <v>51359</v>
      </c>
      <c r="I25" s="59">
        <f t="shared" si="8"/>
        <v>46399.460000000006</v>
      </c>
      <c r="J25" s="59">
        <f t="shared" si="8"/>
        <v>47192.545999999995</v>
      </c>
      <c r="K25" s="59">
        <f t="shared" si="8"/>
        <v>48746.674299999999</v>
      </c>
      <c r="L25" s="59">
        <f t="shared" si="8"/>
        <v>50824.417622000001</v>
      </c>
      <c r="M25" s="59">
        <f t="shared" si="8"/>
        <v>53619.292879240013</v>
      </c>
    </row>
    <row r="26" spans="2:13" ht="16" x14ac:dyDescent="0.2">
      <c r="B26" s="60" t="s">
        <v>4</v>
      </c>
      <c r="C26" s="58"/>
      <c r="D26" s="61"/>
      <c r="E26" s="62">
        <f t="shared" ref="E26:M26" si="9">(E25/D25)-1</f>
        <v>0.18962657821527928</v>
      </c>
      <c r="F26" s="62">
        <f t="shared" si="9"/>
        <v>4.9625615542014279E-2</v>
      </c>
      <c r="G26" s="62">
        <f t="shared" si="9"/>
        <v>9.5372750642673587E-2</v>
      </c>
      <c r="H26" s="62">
        <f t="shared" si="9"/>
        <v>4.4394899475865834E-3</v>
      </c>
      <c r="I26" s="62">
        <f t="shared" si="9"/>
        <v>-9.6566132518156378E-2</v>
      </c>
      <c r="J26" s="106">
        <f t="shared" si="9"/>
        <v>1.7092569611801167E-2</v>
      </c>
      <c r="K26" s="106">
        <f t="shared" si="9"/>
        <v>3.2931647722502788E-2</v>
      </c>
      <c r="L26" s="106">
        <f t="shared" si="9"/>
        <v>4.2623283574444892E-2</v>
      </c>
      <c r="M26" s="106">
        <f t="shared" si="9"/>
        <v>5.499079749475011E-2</v>
      </c>
    </row>
    <row r="27" spans="2:13" ht="16" x14ac:dyDescent="0.2">
      <c r="B27" s="60"/>
      <c r="C27" s="58"/>
      <c r="D27" s="61"/>
      <c r="E27" s="62"/>
      <c r="F27" s="62"/>
      <c r="G27" s="62"/>
      <c r="H27" s="62"/>
      <c r="I27" s="62"/>
      <c r="J27" s="62"/>
      <c r="K27" s="62"/>
      <c r="L27" s="62"/>
      <c r="M27" s="62"/>
    </row>
    <row r="28" spans="2:13" x14ac:dyDescent="0.2">
      <c r="B28" s="15" t="s">
        <v>103</v>
      </c>
      <c r="C28" s="11"/>
      <c r="D28" s="16"/>
      <c r="E28" s="16"/>
      <c r="F28" s="16"/>
      <c r="G28" s="16"/>
      <c r="H28" s="16"/>
      <c r="I28" s="16">
        <f>I25</f>
        <v>46399.460000000006</v>
      </c>
      <c r="J28" s="16">
        <f>J25*(1+E114)</f>
        <v>42060.356622499996</v>
      </c>
      <c r="K28" s="16">
        <f>K25*(1+E113)</f>
        <v>45578.140470500002</v>
      </c>
      <c r="L28" s="16">
        <f>L25*(1+E113)</f>
        <v>47520.830476570001</v>
      </c>
      <c r="M28" s="16">
        <f>M25*(1+E113)</f>
        <v>50134.038842089416</v>
      </c>
    </row>
    <row r="29" spans="2:13" x14ac:dyDescent="0.2">
      <c r="B29" s="12" t="s">
        <v>102</v>
      </c>
      <c r="C29" s="11"/>
      <c r="D29" s="16"/>
      <c r="E29" s="16"/>
      <c r="F29" s="16"/>
      <c r="G29" s="16"/>
      <c r="H29" s="16"/>
      <c r="I29" s="16"/>
      <c r="J29" s="14">
        <v>0.15</v>
      </c>
      <c r="K29" s="14">
        <v>0.1</v>
      </c>
      <c r="L29" s="14">
        <v>0.1</v>
      </c>
      <c r="M29" s="14">
        <v>0.1</v>
      </c>
    </row>
    <row r="30" spans="2:13" ht="16" x14ac:dyDescent="0.2">
      <c r="B30" s="25"/>
      <c r="C30" s="11"/>
      <c r="D30" s="16"/>
      <c r="E30" s="62"/>
      <c r="F30" s="62"/>
      <c r="G30" s="62"/>
      <c r="H30" s="62"/>
      <c r="I30" s="62"/>
      <c r="J30" s="106"/>
      <c r="K30" s="106"/>
      <c r="L30" s="106"/>
      <c r="M30" s="106"/>
    </row>
    <row r="31" spans="2:13" x14ac:dyDescent="0.2">
      <c r="B31" s="10"/>
      <c r="C31" s="11"/>
      <c r="D31" s="11"/>
      <c r="E31" s="11"/>
      <c r="F31" s="11"/>
      <c r="G31" s="11"/>
    </row>
    <row r="32" spans="2:13" x14ac:dyDescent="0.2">
      <c r="B32" s="17" t="s">
        <v>101</v>
      </c>
      <c r="C32" s="11"/>
      <c r="D32" s="11"/>
      <c r="E32" s="11"/>
      <c r="F32" s="11"/>
      <c r="G32" s="11"/>
    </row>
    <row r="33" spans="2:13" x14ac:dyDescent="0.2">
      <c r="B33" s="10"/>
      <c r="C33" s="11"/>
      <c r="D33" s="11"/>
      <c r="E33" s="11"/>
      <c r="F33" s="11"/>
      <c r="G33" s="11"/>
    </row>
    <row r="34" spans="2:13" x14ac:dyDescent="0.2">
      <c r="B34" s="18" t="s">
        <v>5</v>
      </c>
      <c r="C34" s="11"/>
      <c r="D34" s="11"/>
      <c r="E34" s="11"/>
      <c r="F34" s="11"/>
      <c r="G34" s="11"/>
    </row>
    <row r="35" spans="2:13" x14ac:dyDescent="0.2">
      <c r="B35" s="10" t="s">
        <v>6</v>
      </c>
      <c r="C35" s="9"/>
      <c r="D35" s="19">
        <f t="shared" ref="D35:M35" si="10">SUM(D36+D38+D40)</f>
        <v>14484</v>
      </c>
      <c r="E35" s="19">
        <f t="shared" si="10"/>
        <v>17359</v>
      </c>
      <c r="F35" s="19">
        <f t="shared" si="10"/>
        <v>18353</v>
      </c>
      <c r="G35" s="19">
        <f t="shared" si="10"/>
        <v>21608</v>
      </c>
      <c r="H35" s="19">
        <f t="shared" si="10"/>
        <v>21396</v>
      </c>
      <c r="I35" s="19">
        <f t="shared" si="10"/>
        <v>19589.47</v>
      </c>
      <c r="J35" s="19">
        <f t="shared" si="10"/>
        <v>19951.120999999999</v>
      </c>
      <c r="K35" s="19">
        <f t="shared" si="10"/>
        <v>20879.812299999998</v>
      </c>
      <c r="L35" s="19">
        <f t="shared" si="10"/>
        <v>22136.547610000001</v>
      </c>
      <c r="M35" s="19">
        <f t="shared" si="10"/>
        <v>23773.329670500003</v>
      </c>
    </row>
    <row r="36" spans="2:13" x14ac:dyDescent="0.2">
      <c r="B36" s="12" t="s">
        <v>14</v>
      </c>
      <c r="C36" s="9"/>
      <c r="D36" s="40">
        <v>9329</v>
      </c>
      <c r="E36" s="40">
        <v>11644</v>
      </c>
      <c r="F36" s="40">
        <v>12228</v>
      </c>
      <c r="G36" s="40">
        <v>14897</v>
      </c>
      <c r="H36" s="40">
        <v>14537</v>
      </c>
      <c r="I36" s="9">
        <f>H36*(1+I37)</f>
        <v>12356.449999999999</v>
      </c>
      <c r="J36" s="9">
        <f>I36*(1+J37)</f>
        <v>12356.449999999999</v>
      </c>
      <c r="K36" s="9">
        <f>J36*(1+K37)</f>
        <v>12850.707999999999</v>
      </c>
      <c r="L36" s="9">
        <f>K36*(1+L37)</f>
        <v>13621.750479999999</v>
      </c>
      <c r="M36" s="9">
        <f>L36*(1+M37)</f>
        <v>14711.4905184</v>
      </c>
    </row>
    <row r="37" spans="2:13" x14ac:dyDescent="0.2">
      <c r="B37" s="24" t="s">
        <v>4</v>
      </c>
      <c r="C37" s="9"/>
      <c r="D37" s="33"/>
      <c r="E37" s="33">
        <f>(E36/D36)-1</f>
        <v>0.24815092721620746</v>
      </c>
      <c r="F37" s="33">
        <f>(F36/E36)-1</f>
        <v>5.0154586052902683E-2</v>
      </c>
      <c r="G37" s="33">
        <f>(G36/F36)-1</f>
        <v>0.21826954530585541</v>
      </c>
      <c r="H37" s="33">
        <f>(H36/G36)-1</f>
        <v>-2.4165939450896179E-2</v>
      </c>
      <c r="I37" s="33">
        <v>-0.15</v>
      </c>
      <c r="J37" s="33">
        <v>0</v>
      </c>
      <c r="K37" s="33">
        <v>0.04</v>
      </c>
      <c r="L37" s="33">
        <v>0.06</v>
      </c>
      <c r="M37" s="33">
        <v>0.08</v>
      </c>
    </row>
    <row r="38" spans="2:13" x14ac:dyDescent="0.2">
      <c r="B38" s="25" t="s">
        <v>15</v>
      </c>
      <c r="C38" s="22"/>
      <c r="D38" s="53">
        <v>4639</v>
      </c>
      <c r="E38" s="53">
        <v>5208</v>
      </c>
      <c r="F38" s="53">
        <v>5492</v>
      </c>
      <c r="G38" s="53">
        <v>5947</v>
      </c>
      <c r="H38" s="53">
        <v>5953</v>
      </c>
      <c r="I38" s="9">
        <f>H38*(1+I39)</f>
        <v>6191.12</v>
      </c>
      <c r="J38" s="9">
        <f>I38*(1+J39)</f>
        <v>6500.6760000000004</v>
      </c>
      <c r="K38" s="9">
        <f>J38*(1+K39)</f>
        <v>6825.7098000000005</v>
      </c>
      <c r="L38" s="9">
        <f>K38*(1+L39)</f>
        <v>7166.9952900000008</v>
      </c>
      <c r="M38" s="9">
        <f>L38*(1+M39)</f>
        <v>7525.3450545000014</v>
      </c>
    </row>
    <row r="39" spans="2:13" x14ac:dyDescent="0.2">
      <c r="B39" s="24" t="s">
        <v>4</v>
      </c>
      <c r="C39" s="22"/>
      <c r="D39" s="33"/>
      <c r="E39" s="33">
        <f>(E38/D38)-1</f>
        <v>0.12265574477258023</v>
      </c>
      <c r="F39" s="33">
        <f>(F38/E38)-1</f>
        <v>5.4531490015361062E-2</v>
      </c>
      <c r="G39" s="33">
        <f>(G38/F38)-1</f>
        <v>8.2847778587035625E-2</v>
      </c>
      <c r="H39" s="33">
        <f>(H38/G38)-1</f>
        <v>1.0089120564991116E-3</v>
      </c>
      <c r="I39" s="33">
        <v>0.04</v>
      </c>
      <c r="J39" s="33">
        <v>0.05</v>
      </c>
      <c r="K39" s="33">
        <v>0.05</v>
      </c>
      <c r="L39" s="33">
        <v>0.05</v>
      </c>
      <c r="M39" s="33">
        <v>0.05</v>
      </c>
    </row>
    <row r="40" spans="2:13" x14ac:dyDescent="0.2">
      <c r="B40" s="12" t="s">
        <v>16</v>
      </c>
      <c r="C40" s="9"/>
      <c r="D40" s="40">
        <v>516</v>
      </c>
      <c r="E40" s="40">
        <v>507</v>
      </c>
      <c r="F40" s="40">
        <v>633</v>
      </c>
      <c r="G40" s="40">
        <v>764</v>
      </c>
      <c r="H40" s="40">
        <v>906</v>
      </c>
      <c r="I40" s="9">
        <f>H40*(1+I41)</f>
        <v>1041.8999999999999</v>
      </c>
      <c r="J40" s="9">
        <f>I40*(1+J41)</f>
        <v>1093.9949999999999</v>
      </c>
      <c r="K40" s="9">
        <f>J40*(1+K41)</f>
        <v>1203.3944999999999</v>
      </c>
      <c r="L40" s="9">
        <f>K40*(1+L41)</f>
        <v>1347.8018400000001</v>
      </c>
      <c r="M40" s="9">
        <f>L40*(1+M41)</f>
        <v>1536.4940976000003</v>
      </c>
    </row>
    <row r="41" spans="2:13" x14ac:dyDescent="0.2">
      <c r="B41" s="24" t="s">
        <v>4</v>
      </c>
      <c r="C41" s="22"/>
      <c r="D41" s="33"/>
      <c r="E41" s="33">
        <f>(E40/D40)-1</f>
        <v>-1.744186046511631E-2</v>
      </c>
      <c r="F41" s="33">
        <f>(F40/E40)-1</f>
        <v>0.24852071005917153</v>
      </c>
      <c r="G41" s="33">
        <f>(G40/F40)-1</f>
        <v>0.20695102685624023</v>
      </c>
      <c r="H41" s="33">
        <f>(H40/G40)-1</f>
        <v>0.18586387434554963</v>
      </c>
      <c r="I41" s="33">
        <v>0.15</v>
      </c>
      <c r="J41" s="33">
        <v>0.05</v>
      </c>
      <c r="K41" s="33">
        <v>0.1</v>
      </c>
      <c r="L41" s="33">
        <v>0.12</v>
      </c>
      <c r="M41" s="33">
        <v>0.14000000000000001</v>
      </c>
    </row>
    <row r="42" spans="2:13" x14ac:dyDescent="0.2">
      <c r="B42" s="24"/>
      <c r="C42" s="22"/>
      <c r="D42" s="28"/>
      <c r="E42" s="28"/>
      <c r="F42" s="28"/>
      <c r="G42" s="28"/>
      <c r="H42" s="29"/>
      <c r="I42" s="29"/>
      <c r="J42" s="29"/>
      <c r="K42" s="29"/>
      <c r="L42" s="29"/>
      <c r="M42" s="29"/>
    </row>
    <row r="43" spans="2:13" x14ac:dyDescent="0.2">
      <c r="B43" s="10" t="s">
        <v>17</v>
      </c>
      <c r="C43" s="9"/>
      <c r="D43" s="40">
        <v>9371</v>
      </c>
      <c r="E43" s="40">
        <v>10186</v>
      </c>
      <c r="F43" s="40">
        <v>9621</v>
      </c>
      <c r="G43" s="40">
        <v>11273</v>
      </c>
      <c r="H43" s="40">
        <v>11004</v>
      </c>
      <c r="I43" s="9">
        <f>I35*I45</f>
        <v>10774.208500000001</v>
      </c>
      <c r="J43" s="9">
        <f>J35*J45</f>
        <v>10973.116550000001</v>
      </c>
      <c r="K43" s="9">
        <f>K35*K45</f>
        <v>10648.704272999999</v>
      </c>
      <c r="L43" s="9">
        <f>L35*L45</f>
        <v>10846.908328900001</v>
      </c>
      <c r="M43" s="9">
        <f>M35*M45</f>
        <v>11173.464945135001</v>
      </c>
    </row>
    <row r="44" spans="2:13" x14ac:dyDescent="0.2">
      <c r="B44" s="24" t="s">
        <v>23</v>
      </c>
      <c r="C44" s="9"/>
      <c r="D44" s="40"/>
      <c r="E44" s="33">
        <f t="shared" ref="E44:M44" si="11">(E45/D45)-1</f>
        <v>-9.3053755204309696E-2</v>
      </c>
      <c r="F44" s="33">
        <f t="shared" si="11"/>
        <v>-0.10662420545980755</v>
      </c>
      <c r="G44" s="33">
        <f t="shared" si="11"/>
        <v>-4.7967496053018532E-3</v>
      </c>
      <c r="H44" s="33">
        <f t="shared" si="11"/>
        <v>-1.4190369148207149E-2</v>
      </c>
      <c r="I44" s="33">
        <f t="shared" si="11"/>
        <v>6.9411123227917093E-2</v>
      </c>
      <c r="J44" s="33">
        <f t="shared" si="11"/>
        <v>0</v>
      </c>
      <c r="K44" s="33">
        <f t="shared" si="11"/>
        <v>-7.2727272727272751E-2</v>
      </c>
      <c r="L44" s="33">
        <f t="shared" si="11"/>
        <v>-3.9215686274509887E-2</v>
      </c>
      <c r="M44" s="33">
        <f t="shared" si="11"/>
        <v>-4.081632653061229E-2</v>
      </c>
    </row>
    <row r="45" spans="2:13" x14ac:dyDescent="0.2">
      <c r="B45" s="24" t="s">
        <v>19</v>
      </c>
      <c r="C45" s="9"/>
      <c r="D45" s="33">
        <f>D43/D35</f>
        <v>0.6469897818282242</v>
      </c>
      <c r="E45" s="33">
        <f>E43/E35</f>
        <v>0.58678495305029088</v>
      </c>
      <c r="F45" s="33">
        <f>F43/F35</f>
        <v>0.52421947365553312</v>
      </c>
      <c r="G45" s="33">
        <f>G43/G35</f>
        <v>0.52170492410218439</v>
      </c>
      <c r="H45" s="33">
        <f>H43/H35</f>
        <v>0.51430173864273698</v>
      </c>
      <c r="I45" s="33">
        <v>0.55000000000000004</v>
      </c>
      <c r="J45" s="33">
        <v>0.55000000000000004</v>
      </c>
      <c r="K45" s="33">
        <v>0.51</v>
      </c>
      <c r="L45" s="33">
        <v>0.49</v>
      </c>
      <c r="M45" s="33">
        <v>0.47</v>
      </c>
    </row>
    <row r="46" spans="2:13" ht="16" x14ac:dyDescent="0.2">
      <c r="B46" s="10" t="s">
        <v>18</v>
      </c>
      <c r="C46" s="9"/>
      <c r="D46" s="38">
        <v>5113</v>
      </c>
      <c r="E46" s="38">
        <v>6993</v>
      </c>
      <c r="F46" s="38">
        <v>8732</v>
      </c>
      <c r="G46" s="38">
        <v>10335</v>
      </c>
      <c r="H46" s="39">
        <v>10392</v>
      </c>
      <c r="I46" s="30">
        <f>I48* I35</f>
        <v>8815.2615000000005</v>
      </c>
      <c r="J46" s="30">
        <f>J48* J35</f>
        <v>8978.0044499999985</v>
      </c>
      <c r="K46" s="30">
        <f>K48* K35</f>
        <v>10231.108026999998</v>
      </c>
      <c r="L46" s="30">
        <f>L48* L35</f>
        <v>11289.639281100001</v>
      </c>
      <c r="M46" s="30">
        <f>M48* M35</f>
        <v>12599.864725365002</v>
      </c>
    </row>
    <row r="47" spans="2:13" ht="16" x14ac:dyDescent="0.2">
      <c r="B47" s="24" t="s">
        <v>23</v>
      </c>
      <c r="C47" s="9"/>
      <c r="D47" s="38"/>
      <c r="E47" s="33">
        <f t="shared" ref="E47:M47" si="12">(E48/D48)-1</f>
        <v>0.17054698611765806</v>
      </c>
      <c r="F47" s="33">
        <f t="shared" si="12"/>
        <v>0.15141142573729272</v>
      </c>
      <c r="G47" s="33">
        <f t="shared" si="12"/>
        <v>5.2851039799139965E-3</v>
      </c>
      <c r="H47" s="33">
        <f t="shared" si="12"/>
        <v>1.5478280736114236E-2</v>
      </c>
      <c r="I47" s="33">
        <f t="shared" si="12"/>
        <v>-7.3498845265588919E-2</v>
      </c>
      <c r="J47" s="33">
        <f t="shared" si="12"/>
        <v>0</v>
      </c>
      <c r="K47" s="33">
        <f t="shared" si="12"/>
        <v>8.8888888888889017E-2</v>
      </c>
      <c r="L47" s="33">
        <f t="shared" si="12"/>
        <v>4.081632653061229E-2</v>
      </c>
      <c r="M47" s="33">
        <f t="shared" si="12"/>
        <v>3.9215686274509887E-2</v>
      </c>
    </row>
    <row r="48" spans="2:13" x14ac:dyDescent="0.2">
      <c r="B48" s="24" t="s">
        <v>19</v>
      </c>
      <c r="C48" s="9"/>
      <c r="D48" s="33">
        <f t="shared" ref="D48:M48" si="13">1-D45</f>
        <v>0.3530102181717758</v>
      </c>
      <c r="E48" s="33">
        <f t="shared" si="13"/>
        <v>0.41321504694970912</v>
      </c>
      <c r="F48" s="33">
        <f t="shared" si="13"/>
        <v>0.47578052634446688</v>
      </c>
      <c r="G48" s="33">
        <f t="shared" si="13"/>
        <v>0.47829507589781561</v>
      </c>
      <c r="H48" s="33">
        <f t="shared" si="13"/>
        <v>0.48569826135726302</v>
      </c>
      <c r="I48" s="33">
        <f t="shared" si="13"/>
        <v>0.44999999999999996</v>
      </c>
      <c r="J48" s="33">
        <f t="shared" si="13"/>
        <v>0.44999999999999996</v>
      </c>
      <c r="K48" s="33">
        <f t="shared" si="13"/>
        <v>0.49</v>
      </c>
      <c r="L48" s="33">
        <f t="shared" si="13"/>
        <v>0.51</v>
      </c>
      <c r="M48" s="33">
        <f t="shared" si="13"/>
        <v>0.53</v>
      </c>
    </row>
    <row r="49" spans="2:13" x14ac:dyDescent="0.2">
      <c r="B49" s="10"/>
      <c r="C49" s="11"/>
      <c r="D49" s="20"/>
      <c r="E49" s="20"/>
      <c r="F49" s="20"/>
      <c r="G49" s="20"/>
      <c r="H49" s="31"/>
      <c r="I49" s="31"/>
      <c r="J49" s="31"/>
      <c r="K49" s="31"/>
      <c r="L49" s="31"/>
      <c r="M49" s="31"/>
    </row>
    <row r="50" spans="2:13" x14ac:dyDescent="0.2">
      <c r="B50" s="10"/>
      <c r="C50" s="11"/>
      <c r="D50" s="27"/>
      <c r="E50" s="27"/>
      <c r="F50" s="27"/>
      <c r="G50" s="27"/>
      <c r="H50" s="26"/>
      <c r="I50" s="26"/>
      <c r="J50" s="26"/>
      <c r="K50" s="26"/>
      <c r="L50" s="26"/>
    </row>
    <row r="51" spans="2:13" x14ac:dyDescent="0.2">
      <c r="B51" s="18" t="s">
        <v>20</v>
      </c>
      <c r="C51" s="11"/>
      <c r="D51" s="11"/>
      <c r="E51" s="11"/>
      <c r="F51" s="11"/>
      <c r="G51" s="11"/>
    </row>
    <row r="52" spans="2:13" x14ac:dyDescent="0.2">
      <c r="B52" s="10" t="s">
        <v>6</v>
      </c>
      <c r="C52" s="9"/>
      <c r="D52" s="19">
        <f t="shared" ref="D52:M52" si="14">SUM(D53+D55+D57)</f>
        <v>6679</v>
      </c>
      <c r="E52" s="19">
        <f t="shared" si="14"/>
        <v>8290</v>
      </c>
      <c r="F52" s="19">
        <f t="shared" si="14"/>
        <v>7547</v>
      </c>
      <c r="G52" s="19">
        <f t="shared" si="14"/>
        <v>7248</v>
      </c>
      <c r="H52" s="19">
        <f t="shared" si="14"/>
        <v>7545</v>
      </c>
      <c r="I52" s="19">
        <f t="shared" si="14"/>
        <v>6600.74</v>
      </c>
      <c r="J52" s="19">
        <f t="shared" si="14"/>
        <v>6600.74</v>
      </c>
      <c r="K52" s="19">
        <f t="shared" si="14"/>
        <v>6583.5603999999994</v>
      </c>
      <c r="L52" s="19">
        <f t="shared" si="14"/>
        <v>6544.4098159999994</v>
      </c>
      <c r="M52" s="19">
        <f t="shared" si="14"/>
        <v>6489.4448675199992</v>
      </c>
    </row>
    <row r="53" spans="2:13" x14ac:dyDescent="0.2">
      <c r="B53" s="12" t="s">
        <v>14</v>
      </c>
      <c r="C53" s="9"/>
      <c r="D53" s="40">
        <v>4635</v>
      </c>
      <c r="E53" s="40">
        <v>5748</v>
      </c>
      <c r="F53" s="40">
        <v>5416</v>
      </c>
      <c r="G53" s="40">
        <v>5435</v>
      </c>
      <c r="H53" s="40">
        <v>5552</v>
      </c>
      <c r="I53" s="9">
        <f>H53*(1+I54)</f>
        <v>4719.2</v>
      </c>
      <c r="J53" s="9">
        <f>I53*(1+J54)</f>
        <v>4719.2</v>
      </c>
      <c r="K53" s="9">
        <f>J53*(1+K54)</f>
        <v>4766.3919999999998</v>
      </c>
      <c r="L53" s="9">
        <f>K53*(1+L54)</f>
        <v>4814.0559199999998</v>
      </c>
      <c r="M53" s="9">
        <f>L53*(1+M54)</f>
        <v>4862.1964791999999</v>
      </c>
    </row>
    <row r="54" spans="2:13" x14ac:dyDescent="0.2">
      <c r="B54" s="24" t="s">
        <v>4</v>
      </c>
      <c r="C54" s="9"/>
      <c r="D54" s="33"/>
      <c r="E54" s="33">
        <f>(E53/D53)-1</f>
        <v>0.24012944983818763</v>
      </c>
      <c r="F54" s="33">
        <f>(F53/E53)-1</f>
        <v>-5.7759220598469052E-2</v>
      </c>
      <c r="G54" s="33">
        <f>(G53/F53)-1</f>
        <v>3.5081240768095601E-3</v>
      </c>
      <c r="H54" s="33">
        <f>(H53/G53)-1</f>
        <v>2.1527138914443356E-2</v>
      </c>
      <c r="I54" s="33">
        <v>-0.15</v>
      </c>
      <c r="J54" s="33">
        <v>0</v>
      </c>
      <c r="K54" s="33">
        <v>0.01</v>
      </c>
      <c r="L54" s="33">
        <v>0.01</v>
      </c>
      <c r="M54" s="33">
        <v>0.01</v>
      </c>
    </row>
    <row r="55" spans="2:13" x14ac:dyDescent="0.2">
      <c r="B55" s="25" t="s">
        <v>15</v>
      </c>
      <c r="C55" s="22"/>
      <c r="D55" s="53">
        <v>1896</v>
      </c>
      <c r="E55" s="53">
        <v>2347</v>
      </c>
      <c r="F55" s="53">
        <v>1938</v>
      </c>
      <c r="G55" s="53">
        <v>1666</v>
      </c>
      <c r="H55" s="53">
        <v>1828</v>
      </c>
      <c r="I55" s="9">
        <f>H55*(1+I56)</f>
        <v>1700.04</v>
      </c>
      <c r="J55" s="9">
        <f>I55*(1+J56)</f>
        <v>1700.04</v>
      </c>
      <c r="K55" s="9">
        <f>J55*(1+K56)</f>
        <v>1632.0383999999999</v>
      </c>
      <c r="L55" s="9">
        <f>K55*(1+L56)</f>
        <v>1534.1160959999997</v>
      </c>
      <c r="M55" s="9">
        <f>L55*(1+M56)</f>
        <v>1411.3868083199998</v>
      </c>
    </row>
    <row r="56" spans="2:13" x14ac:dyDescent="0.2">
      <c r="B56" s="24" t="s">
        <v>4</v>
      </c>
      <c r="C56" s="22"/>
      <c r="D56" s="33"/>
      <c r="E56" s="33">
        <f>(E55/D55)-1</f>
        <v>0.2378691983122363</v>
      </c>
      <c r="F56" s="33">
        <f>(F55/E55)-1</f>
        <v>-0.17426501917341286</v>
      </c>
      <c r="G56" s="33">
        <f>(G55/F55)-1</f>
        <v>-0.14035087719298245</v>
      </c>
      <c r="H56" s="33">
        <f>(H55/G55)-1</f>
        <v>9.7238895558223293E-2</v>
      </c>
      <c r="I56" s="33">
        <v>-7.0000000000000007E-2</v>
      </c>
      <c r="J56" s="33">
        <v>0</v>
      </c>
      <c r="K56" s="33">
        <v>-0.04</v>
      </c>
      <c r="L56" s="33">
        <v>-0.06</v>
      </c>
      <c r="M56" s="33">
        <v>-0.08</v>
      </c>
    </row>
    <row r="57" spans="2:13" x14ac:dyDescent="0.2">
      <c r="B57" s="12" t="s">
        <v>16</v>
      </c>
      <c r="C57" s="9"/>
      <c r="D57" s="40">
        <v>148</v>
      </c>
      <c r="E57" s="40">
        <v>195</v>
      </c>
      <c r="F57" s="40">
        <v>193</v>
      </c>
      <c r="G57" s="40">
        <v>147</v>
      </c>
      <c r="H57" s="40">
        <v>165</v>
      </c>
      <c r="I57" s="9">
        <f>H57*(1+I58)</f>
        <v>181.50000000000003</v>
      </c>
      <c r="J57" s="9">
        <f>I57*(1+J58)</f>
        <v>181.50000000000003</v>
      </c>
      <c r="K57" s="9">
        <f>J57*(1+K58)</f>
        <v>185.13000000000002</v>
      </c>
      <c r="L57" s="9">
        <f>K57*(1+L58)</f>
        <v>196.23780000000002</v>
      </c>
      <c r="M57" s="9">
        <f>L57*(1+M58)</f>
        <v>215.86158000000003</v>
      </c>
    </row>
    <row r="58" spans="2:13" s="12" customFormat="1" x14ac:dyDescent="0.2">
      <c r="B58" s="24" t="s">
        <v>4</v>
      </c>
      <c r="C58" s="22"/>
      <c r="D58" s="33"/>
      <c r="E58" s="33">
        <f>(E57/D57)-1</f>
        <v>0.31756756756756754</v>
      </c>
      <c r="F58" s="33">
        <f>(F57/E57)-1</f>
        <v>-1.025641025641022E-2</v>
      </c>
      <c r="G58" s="33">
        <f>(G57/F57)-1</f>
        <v>-0.23834196891191706</v>
      </c>
      <c r="H58" s="33">
        <f>(H57/G57)-1</f>
        <v>0.12244897959183665</v>
      </c>
      <c r="I58" s="33">
        <v>0.1</v>
      </c>
      <c r="J58" s="33">
        <v>0</v>
      </c>
      <c r="K58" s="33">
        <v>0.02</v>
      </c>
      <c r="L58" s="33">
        <v>0.06</v>
      </c>
      <c r="M58" s="33">
        <v>0.1</v>
      </c>
    </row>
    <row r="59" spans="2:13" x14ac:dyDescent="0.2">
      <c r="B59" s="24"/>
      <c r="C59" s="22"/>
      <c r="D59" s="28"/>
      <c r="E59" s="28"/>
      <c r="F59" s="28"/>
      <c r="G59" s="28"/>
      <c r="H59" s="29"/>
      <c r="I59" s="29"/>
      <c r="J59" s="29"/>
      <c r="K59" s="29"/>
      <c r="L59" s="29"/>
      <c r="M59" s="29"/>
    </row>
    <row r="60" spans="2:13" x14ac:dyDescent="0.2">
      <c r="B60" s="10" t="s">
        <v>17</v>
      </c>
      <c r="C60" s="9"/>
      <c r="D60" s="40">
        <v>3803</v>
      </c>
      <c r="E60" s="40">
        <v>4513</v>
      </c>
      <c r="F60" s="40">
        <v>4081</v>
      </c>
      <c r="G60" s="40">
        <v>3866</v>
      </c>
      <c r="H60" s="40">
        <v>4262</v>
      </c>
      <c r="I60" s="9">
        <f>I52*I62</f>
        <v>3498.3922000000002</v>
      </c>
      <c r="J60" s="9">
        <f>J52*J62</f>
        <v>3498.3922000000002</v>
      </c>
      <c r="K60" s="9">
        <f>K52*K62</f>
        <v>3357.6158039999996</v>
      </c>
      <c r="L60" s="9">
        <f>L52*L62</f>
        <v>3272.2049079999997</v>
      </c>
      <c r="M60" s="9">
        <f>M52*M62</f>
        <v>3244.7224337599996</v>
      </c>
    </row>
    <row r="61" spans="2:13" x14ac:dyDescent="0.2">
      <c r="B61" s="24" t="s">
        <v>23</v>
      </c>
      <c r="C61" s="9"/>
      <c r="D61" s="40"/>
      <c r="E61" s="33">
        <f t="shared" ref="E61:M61" si="15">(E62/D62)-1</f>
        <v>-4.3916284743775624E-2</v>
      </c>
      <c r="F61" s="33">
        <f t="shared" si="15"/>
        <v>-6.6976983383633115E-3</v>
      </c>
      <c r="G61" s="33">
        <f t="shared" si="15"/>
        <v>-1.3603732474780861E-2</v>
      </c>
      <c r="H61" s="33">
        <f t="shared" si="15"/>
        <v>5.9035543593071615E-2</v>
      </c>
      <c r="I61" s="33">
        <f t="shared" si="15"/>
        <v>-6.1743312998592148E-2</v>
      </c>
      <c r="J61" s="33">
        <f t="shared" si="15"/>
        <v>0</v>
      </c>
      <c r="K61" s="33">
        <f t="shared" si="15"/>
        <v>-3.7735849056603765E-2</v>
      </c>
      <c r="L61" s="33">
        <f t="shared" si="15"/>
        <v>-1.9607843137254943E-2</v>
      </c>
      <c r="M61" s="33">
        <f t="shared" si="15"/>
        <v>0</v>
      </c>
    </row>
    <row r="62" spans="2:13" x14ac:dyDescent="0.2">
      <c r="B62" s="24" t="s">
        <v>19</v>
      </c>
      <c r="C62" s="9"/>
      <c r="D62" s="33">
        <f>D60/D52</f>
        <v>0.56939661625991911</v>
      </c>
      <c r="E62" s="33">
        <f>E60/E52</f>
        <v>0.54439083232810614</v>
      </c>
      <c r="F62" s="33">
        <f>F60/F52</f>
        <v>0.54074466675500199</v>
      </c>
      <c r="G62" s="33">
        <f>G60/G52</f>
        <v>0.5333885209713024</v>
      </c>
      <c r="H62" s="33">
        <f>H60/H52</f>
        <v>0.56487740225314775</v>
      </c>
      <c r="I62" s="33">
        <v>0.53</v>
      </c>
      <c r="J62" s="33">
        <v>0.53</v>
      </c>
      <c r="K62" s="33">
        <v>0.51</v>
      </c>
      <c r="L62" s="33">
        <v>0.5</v>
      </c>
      <c r="M62" s="33">
        <v>0.5</v>
      </c>
    </row>
    <row r="63" spans="2:13" ht="16" x14ac:dyDescent="0.2">
      <c r="B63" s="10" t="s">
        <v>18</v>
      </c>
      <c r="C63" s="9"/>
      <c r="D63" s="38">
        <v>2876</v>
      </c>
      <c r="E63" s="38">
        <v>3777</v>
      </c>
      <c r="F63" s="38">
        <v>3466</v>
      </c>
      <c r="G63" s="38">
        <v>3382</v>
      </c>
      <c r="H63" s="39">
        <v>3283</v>
      </c>
      <c r="I63" s="30">
        <f>I65* I52</f>
        <v>3102.3477999999996</v>
      </c>
      <c r="J63" s="30">
        <f>J65* J52</f>
        <v>3102.3477999999996</v>
      </c>
      <c r="K63" s="30">
        <f>K65* K52</f>
        <v>3225.9445959999998</v>
      </c>
      <c r="L63" s="30">
        <f>L65* L52</f>
        <v>3272.2049079999997</v>
      </c>
      <c r="M63" s="30">
        <f>M65* M52</f>
        <v>3244.7224337599996</v>
      </c>
    </row>
    <row r="64" spans="2:13" ht="16" x14ac:dyDescent="0.2">
      <c r="B64" s="24" t="s">
        <v>23</v>
      </c>
      <c r="C64" s="9"/>
      <c r="D64" s="38"/>
      <c r="E64" s="33">
        <f t="shared" ref="E64:M64" si="16">(E65/D65)-1</f>
        <v>5.807149891536123E-2</v>
      </c>
      <c r="F64" s="33">
        <f t="shared" si="16"/>
        <v>8.0028362724473556E-3</v>
      </c>
      <c r="G64" s="33">
        <f t="shared" si="16"/>
        <v>1.6017551133751029E-2</v>
      </c>
      <c r="H64" s="33">
        <f t="shared" si="16"/>
        <v>-6.7484154799176577E-2</v>
      </c>
      <c r="I64" s="33">
        <f t="shared" si="16"/>
        <v>8.0155345720377635E-2</v>
      </c>
      <c r="J64" s="33">
        <f t="shared" si="16"/>
        <v>0</v>
      </c>
      <c r="K64" s="33">
        <f t="shared" si="16"/>
        <v>4.2553191489361764E-2</v>
      </c>
      <c r="L64" s="33">
        <f t="shared" si="16"/>
        <v>2.0408163265306145E-2</v>
      </c>
      <c r="M64" s="33">
        <f t="shared" si="16"/>
        <v>0</v>
      </c>
    </row>
    <row r="65" spans="2:13" x14ac:dyDescent="0.2">
      <c r="B65" s="24" t="s">
        <v>19</v>
      </c>
      <c r="C65" s="9"/>
      <c r="D65" s="33">
        <f t="shared" ref="D65:M65" si="17">1-D62</f>
        <v>0.43060338374008089</v>
      </c>
      <c r="E65" s="33">
        <f t="shared" si="17"/>
        <v>0.45560916767189386</v>
      </c>
      <c r="F65" s="33">
        <f t="shared" si="17"/>
        <v>0.45925533324499801</v>
      </c>
      <c r="G65" s="33">
        <f t="shared" si="17"/>
        <v>0.4666114790286976</v>
      </c>
      <c r="H65" s="33">
        <f t="shared" si="17"/>
        <v>0.43512259774685225</v>
      </c>
      <c r="I65" s="33">
        <f t="shared" si="17"/>
        <v>0.47</v>
      </c>
      <c r="J65" s="33">
        <f t="shared" si="17"/>
        <v>0.47</v>
      </c>
      <c r="K65" s="33">
        <f t="shared" si="17"/>
        <v>0.49</v>
      </c>
      <c r="L65" s="33">
        <f t="shared" si="17"/>
        <v>0.5</v>
      </c>
      <c r="M65" s="33">
        <f t="shared" si="17"/>
        <v>0.5</v>
      </c>
    </row>
    <row r="66" spans="2:13" x14ac:dyDescent="0.2">
      <c r="B66" s="12"/>
      <c r="C66" s="9"/>
      <c r="D66" s="20"/>
      <c r="E66" s="20"/>
      <c r="F66" s="20"/>
      <c r="G66" s="20"/>
      <c r="H66" s="21"/>
      <c r="I66" s="21"/>
      <c r="J66" s="21"/>
      <c r="K66" s="21"/>
      <c r="L66" s="21"/>
    </row>
    <row r="67" spans="2:13" x14ac:dyDescent="0.2">
      <c r="B67" s="18" t="s">
        <v>21</v>
      </c>
      <c r="C67" s="11"/>
      <c r="D67" s="11"/>
      <c r="E67" s="11"/>
      <c r="F67" s="11"/>
      <c r="G67" s="11"/>
      <c r="M67" s="23"/>
    </row>
    <row r="68" spans="2:13" x14ac:dyDescent="0.2">
      <c r="B68" s="10" t="s">
        <v>6</v>
      </c>
      <c r="C68" s="9"/>
      <c r="D68" s="19">
        <f t="shared" ref="D68:M68" si="18">SUM(D69+D71+D73)</f>
        <v>5028</v>
      </c>
      <c r="E68" s="19">
        <f t="shared" si="18"/>
        <v>5343</v>
      </c>
      <c r="F68" s="19">
        <f t="shared" si="18"/>
        <v>5955</v>
      </c>
      <c r="G68" s="19">
        <f t="shared" si="18"/>
        <v>6431</v>
      </c>
      <c r="H68" s="19">
        <f t="shared" si="18"/>
        <v>6729</v>
      </c>
      <c r="I68" s="19">
        <f t="shared" si="18"/>
        <v>6179.3</v>
      </c>
      <c r="J68" s="19">
        <f t="shared" si="18"/>
        <v>6269.34</v>
      </c>
      <c r="K68" s="19">
        <f t="shared" si="18"/>
        <v>6539.0219999999999</v>
      </c>
      <c r="L68" s="19">
        <f t="shared" si="18"/>
        <v>6911.509500000001</v>
      </c>
      <c r="M68" s="19">
        <f t="shared" si="18"/>
        <v>7401.8907270000018</v>
      </c>
    </row>
    <row r="69" spans="2:13" x14ac:dyDescent="0.2">
      <c r="B69" s="12" t="s">
        <v>14</v>
      </c>
      <c r="C69" s="9"/>
      <c r="D69" s="40">
        <v>3449</v>
      </c>
      <c r="E69" s="40">
        <v>3659</v>
      </c>
      <c r="F69" s="40">
        <v>4111</v>
      </c>
      <c r="G69" s="40">
        <v>4543</v>
      </c>
      <c r="H69" s="40">
        <v>4865</v>
      </c>
      <c r="I69" s="9">
        <f>H69*(1+I70)</f>
        <v>4378.5</v>
      </c>
      <c r="J69" s="9">
        <f>I69*(1+J70)</f>
        <v>4378.5</v>
      </c>
      <c r="K69" s="9">
        <f>J69*(1+K70)</f>
        <v>4553.6400000000003</v>
      </c>
      <c r="L69" s="9">
        <f>K69*(1+L70)</f>
        <v>4826.858400000001</v>
      </c>
      <c r="M69" s="9">
        <f>L69*(1+M70)</f>
        <v>5213.0070720000012</v>
      </c>
    </row>
    <row r="70" spans="2:13" x14ac:dyDescent="0.2">
      <c r="B70" s="24" t="s">
        <v>4</v>
      </c>
      <c r="C70" s="9"/>
      <c r="D70" s="33"/>
      <c r="E70" s="33">
        <f>(E69/D69)-1</f>
        <v>6.0887213685126174E-2</v>
      </c>
      <c r="F70" s="33">
        <f>(F69/E69)-1</f>
        <v>0.12353101940420874</v>
      </c>
      <c r="G70" s="33">
        <f>(G69/F69)-1</f>
        <v>0.10508392118705911</v>
      </c>
      <c r="H70" s="33">
        <f>(H69/G69)-1</f>
        <v>7.0878274268104668E-2</v>
      </c>
      <c r="I70" s="33">
        <v>-0.1</v>
      </c>
      <c r="J70" s="33">
        <v>0</v>
      </c>
      <c r="K70" s="33">
        <v>0.04</v>
      </c>
      <c r="L70" s="33">
        <v>0.06</v>
      </c>
      <c r="M70" s="33">
        <v>0.08</v>
      </c>
    </row>
    <row r="71" spans="2:13" x14ac:dyDescent="0.2">
      <c r="B71" s="25" t="s">
        <v>15</v>
      </c>
      <c r="C71" s="22"/>
      <c r="D71" s="53">
        <v>1365</v>
      </c>
      <c r="E71" s="53">
        <v>1494</v>
      </c>
      <c r="F71" s="53">
        <v>1610</v>
      </c>
      <c r="G71" s="53">
        <v>1664</v>
      </c>
      <c r="H71" s="53">
        <v>1614</v>
      </c>
      <c r="I71" s="9">
        <f>H71*(1+I72)</f>
        <v>1533.3</v>
      </c>
      <c r="J71" s="9">
        <f>I71*(1+J72)</f>
        <v>1609.9649999999999</v>
      </c>
      <c r="K71" s="9">
        <f>J71*(1+K72)</f>
        <v>1690.46325</v>
      </c>
      <c r="L71" s="9">
        <f>K71*(1+L72)</f>
        <v>1774.9864125000001</v>
      </c>
      <c r="M71" s="9">
        <f>L71*(1+M72)</f>
        <v>1863.7357331250003</v>
      </c>
    </row>
    <row r="72" spans="2:13" x14ac:dyDescent="0.2">
      <c r="B72" s="24" t="s">
        <v>4</v>
      </c>
      <c r="C72" s="22"/>
      <c r="D72" s="33"/>
      <c r="E72" s="33">
        <f>(E71/D71)-1</f>
        <v>9.4505494505494614E-2</v>
      </c>
      <c r="F72" s="33">
        <f>(F71/E71)-1</f>
        <v>7.7643908969210251E-2</v>
      </c>
      <c r="G72" s="33">
        <f>(G71/F71)-1</f>
        <v>3.354037267080745E-2</v>
      </c>
      <c r="H72" s="33">
        <f>(H71/G71)-1</f>
        <v>-3.0048076923076872E-2</v>
      </c>
      <c r="I72" s="33">
        <v>-0.05</v>
      </c>
      <c r="J72" s="33">
        <v>0.05</v>
      </c>
      <c r="K72" s="33">
        <v>0.05</v>
      </c>
      <c r="L72" s="33">
        <v>0.05</v>
      </c>
      <c r="M72" s="33">
        <v>0.05</v>
      </c>
    </row>
    <row r="73" spans="2:13" x14ac:dyDescent="0.2">
      <c r="B73" s="12" t="s">
        <v>16</v>
      </c>
      <c r="C73" s="9"/>
      <c r="D73" s="40">
        <v>214</v>
      </c>
      <c r="E73" s="40">
        <v>190</v>
      </c>
      <c r="F73" s="40">
        <v>234</v>
      </c>
      <c r="G73" s="40">
        <v>224</v>
      </c>
      <c r="H73" s="40">
        <v>250</v>
      </c>
      <c r="I73" s="9">
        <f>H73*(1+I74)</f>
        <v>267.5</v>
      </c>
      <c r="J73" s="9">
        <f>I73*(1+J74)</f>
        <v>280.875</v>
      </c>
      <c r="K73" s="9">
        <f>J73*(1+K74)</f>
        <v>294.91874999999999</v>
      </c>
      <c r="L73" s="9">
        <f>K73*(1+L74)</f>
        <v>309.66468750000001</v>
      </c>
      <c r="M73" s="9">
        <f>L73*(1+M74)</f>
        <v>325.14792187500001</v>
      </c>
    </row>
    <row r="74" spans="2:13" x14ac:dyDescent="0.2">
      <c r="B74" s="24" t="s">
        <v>4</v>
      </c>
      <c r="C74" s="22"/>
      <c r="D74" s="33"/>
      <c r="E74" s="33">
        <f>(E73/D73)-1</f>
        <v>-0.11214953271028039</v>
      </c>
      <c r="F74" s="33">
        <f>(F73/E73)-1</f>
        <v>0.23157894736842111</v>
      </c>
      <c r="G74" s="33">
        <f>(G73/F73)-1</f>
        <v>-4.2735042735042694E-2</v>
      </c>
      <c r="H74" s="33">
        <f>(H73/G73)-1</f>
        <v>0.1160714285714286</v>
      </c>
      <c r="I74" s="33">
        <v>7.0000000000000007E-2</v>
      </c>
      <c r="J74" s="33">
        <v>0.05</v>
      </c>
      <c r="K74" s="33">
        <v>0.05</v>
      </c>
      <c r="L74" s="33">
        <v>0.05</v>
      </c>
      <c r="M74" s="33">
        <v>0.05</v>
      </c>
    </row>
    <row r="75" spans="2:13" x14ac:dyDescent="0.2">
      <c r="B75" s="24"/>
      <c r="C75" s="22"/>
      <c r="D75" s="28"/>
      <c r="E75" s="28"/>
      <c r="F75" s="28"/>
      <c r="G75" s="28"/>
      <c r="H75" s="29"/>
      <c r="I75" s="29"/>
      <c r="J75" s="29"/>
      <c r="K75" s="29"/>
      <c r="L75" s="29"/>
      <c r="M75" s="29"/>
    </row>
    <row r="76" spans="2:13" x14ac:dyDescent="0.2">
      <c r="B76" s="10" t="s">
        <v>17</v>
      </c>
      <c r="C76" s="9"/>
      <c r="D76" s="40">
        <v>3408</v>
      </c>
      <c r="E76" s="40">
        <v>3387</v>
      </c>
      <c r="F76" s="40">
        <v>3529</v>
      </c>
      <c r="G76" s="40">
        <v>3736</v>
      </c>
      <c r="H76" s="40">
        <v>3930</v>
      </c>
      <c r="I76" s="9">
        <f>I68*I78</f>
        <v>3460.4080000000004</v>
      </c>
      <c r="J76" s="9">
        <f>J68*J78</f>
        <v>3573.5237999999999</v>
      </c>
      <c r="K76" s="9">
        <f>K68*K78</f>
        <v>3661.8523200000004</v>
      </c>
      <c r="L76" s="9">
        <f>L68*L78</f>
        <v>3801.3302250000011</v>
      </c>
      <c r="M76" s="9">
        <f>M68*M78</f>
        <v>3997.0209925800013</v>
      </c>
    </row>
    <row r="77" spans="2:13" x14ac:dyDescent="0.2">
      <c r="B77" s="24" t="s">
        <v>23</v>
      </c>
      <c r="C77" s="9"/>
      <c r="D77" s="40"/>
      <c r="E77" s="33">
        <f t="shared" ref="E77:M77" si="19">(E78/D78)-1</f>
        <v>-6.4754331717424063E-2</v>
      </c>
      <c r="F77" s="33">
        <f t="shared" si="19"/>
        <v>-6.515443922123354E-2</v>
      </c>
      <c r="G77" s="33">
        <f t="shared" si="19"/>
        <v>-1.9701212588729256E-2</v>
      </c>
      <c r="H77" s="33">
        <f t="shared" si="19"/>
        <v>5.3416243349522219E-3</v>
      </c>
      <c r="I77" s="33">
        <f t="shared" si="19"/>
        <v>-4.116030534351145E-2</v>
      </c>
      <c r="J77" s="33">
        <f t="shared" si="19"/>
        <v>1.7857142857142572E-2</v>
      </c>
      <c r="K77" s="33">
        <f t="shared" si="19"/>
        <v>-1.754385964912264E-2</v>
      </c>
      <c r="L77" s="33">
        <f t="shared" si="19"/>
        <v>-1.7857142857142905E-2</v>
      </c>
      <c r="M77" s="33">
        <f t="shared" si="19"/>
        <v>-1.8181818181818188E-2</v>
      </c>
    </row>
    <row r="78" spans="2:13" x14ac:dyDescent="0.2">
      <c r="B78" s="24" t="s">
        <v>19</v>
      </c>
      <c r="C78" s="9"/>
      <c r="D78" s="33">
        <f>D76/D68</f>
        <v>0.67780429594272074</v>
      </c>
      <c r="E78" s="33">
        <f>E76/E68</f>
        <v>0.63391353172375076</v>
      </c>
      <c r="F78" s="33">
        <f>F76/F68</f>
        <v>0.59261125104953816</v>
      </c>
      <c r="G78" s="33">
        <f>G76/G68</f>
        <v>0.58093609081013842</v>
      </c>
      <c r="H78" s="33">
        <f>H76/H68</f>
        <v>0.58403923316986184</v>
      </c>
      <c r="I78" s="33">
        <v>0.56000000000000005</v>
      </c>
      <c r="J78" s="33">
        <v>0.56999999999999995</v>
      </c>
      <c r="K78" s="33">
        <v>0.56000000000000005</v>
      </c>
      <c r="L78" s="33">
        <v>0.55000000000000004</v>
      </c>
      <c r="M78" s="33">
        <v>0.54</v>
      </c>
    </row>
    <row r="79" spans="2:13" ht="16" x14ac:dyDescent="0.2">
      <c r="B79" s="10" t="s">
        <v>18</v>
      </c>
      <c r="C79" s="9"/>
      <c r="D79" s="38">
        <v>1620</v>
      </c>
      <c r="E79" s="38">
        <v>1956</v>
      </c>
      <c r="F79" s="38">
        <v>2426</v>
      </c>
      <c r="G79" s="38">
        <v>2695</v>
      </c>
      <c r="H79" s="39">
        <v>2799</v>
      </c>
      <c r="I79" s="30">
        <f>I81* I68</f>
        <v>2718.8919999999998</v>
      </c>
      <c r="J79" s="30">
        <f>J81* J68</f>
        <v>2695.8162000000002</v>
      </c>
      <c r="K79" s="30">
        <f>K81* K68</f>
        <v>2877.1696799999995</v>
      </c>
      <c r="L79" s="30">
        <f>L81* L68</f>
        <v>3110.179275</v>
      </c>
      <c r="M79" s="30">
        <f>M81* M68</f>
        <v>3404.8697344200004</v>
      </c>
    </row>
    <row r="80" spans="2:13" ht="16" x14ac:dyDescent="0.2">
      <c r="B80" s="24" t="s">
        <v>23</v>
      </c>
      <c r="C80" s="9"/>
      <c r="D80" s="38"/>
      <c r="E80" s="33">
        <f t="shared" ref="E80:M80" si="20">(E81/D81)-1</f>
        <v>0.13622392746480316</v>
      </c>
      <c r="F80" s="33">
        <f t="shared" si="20"/>
        <v>0.11282110717909921</v>
      </c>
      <c r="G80" s="33">
        <f t="shared" si="20"/>
        <v>2.8658524000670038E-2</v>
      </c>
      <c r="H80" s="33">
        <f t="shared" si="20"/>
        <v>-7.4049382246312856E-3</v>
      </c>
      <c r="I80" s="33">
        <f t="shared" si="20"/>
        <v>5.7792068595927004E-2</v>
      </c>
      <c r="J80" s="33">
        <f t="shared" si="20"/>
        <v>-2.2727272727272485E-2</v>
      </c>
      <c r="K80" s="33">
        <f t="shared" si="20"/>
        <v>2.3255813953488191E-2</v>
      </c>
      <c r="L80" s="33">
        <f t="shared" si="20"/>
        <v>2.2727272727272707E-2</v>
      </c>
      <c r="M80" s="33">
        <f t="shared" si="20"/>
        <v>2.2222222222222143E-2</v>
      </c>
    </row>
    <row r="81" spans="2:13" x14ac:dyDescent="0.2">
      <c r="B81" s="24" t="s">
        <v>19</v>
      </c>
      <c r="C81" s="9"/>
      <c r="D81" s="33">
        <f t="shared" ref="D81:M81" si="21">1-D78</f>
        <v>0.32219570405727926</v>
      </c>
      <c r="E81" s="33">
        <f t="shared" si="21"/>
        <v>0.36608646827624924</v>
      </c>
      <c r="F81" s="33">
        <f t="shared" si="21"/>
        <v>0.40738874895046184</v>
      </c>
      <c r="G81" s="33">
        <f t="shared" si="21"/>
        <v>0.41906390918986158</v>
      </c>
      <c r="H81" s="33">
        <f t="shared" si="21"/>
        <v>0.41596076683013816</v>
      </c>
      <c r="I81" s="33">
        <f t="shared" si="21"/>
        <v>0.43999999999999995</v>
      </c>
      <c r="J81" s="33">
        <f t="shared" si="21"/>
        <v>0.43000000000000005</v>
      </c>
      <c r="K81" s="33">
        <f t="shared" si="21"/>
        <v>0.43999999999999995</v>
      </c>
      <c r="L81" s="33">
        <f t="shared" si="21"/>
        <v>0.44999999999999996</v>
      </c>
      <c r="M81" s="33">
        <f t="shared" si="21"/>
        <v>0.45999999999999996</v>
      </c>
    </row>
    <row r="82" spans="2:13" x14ac:dyDescent="0.2">
      <c r="B82" s="35"/>
      <c r="C82" s="11"/>
      <c r="D82" s="36"/>
      <c r="E82" s="36"/>
      <c r="F82" s="36"/>
      <c r="G82" s="36"/>
      <c r="H82" s="37"/>
      <c r="I82" s="37"/>
      <c r="J82" s="37"/>
      <c r="K82" s="37"/>
      <c r="L82" s="37"/>
    </row>
    <row r="83" spans="2:13" x14ac:dyDescent="0.2">
      <c r="B83" s="41" t="s">
        <v>22</v>
      </c>
      <c r="C83" s="42"/>
      <c r="D83" s="42"/>
      <c r="E83" s="42"/>
      <c r="F83" s="42"/>
      <c r="G83" s="42"/>
      <c r="H83" s="43"/>
      <c r="I83" s="43"/>
      <c r="J83" s="43"/>
      <c r="K83" s="43"/>
      <c r="L83" s="43"/>
    </row>
    <row r="84" spans="2:13" x14ac:dyDescent="0.2">
      <c r="B84" s="44" t="s">
        <v>6</v>
      </c>
      <c r="C84" s="45"/>
      <c r="D84" s="19">
        <f t="shared" ref="D84:M84" si="22">SUM(D85+D87+D89)</f>
        <v>9347</v>
      </c>
      <c r="E84" s="19">
        <f t="shared" si="22"/>
        <v>11456</v>
      </c>
      <c r="F84" s="19">
        <f t="shared" si="22"/>
        <v>12479</v>
      </c>
      <c r="G84" s="19">
        <f t="shared" si="22"/>
        <v>13418</v>
      </c>
      <c r="H84" s="19">
        <f t="shared" si="22"/>
        <v>13607</v>
      </c>
      <c r="I84" s="19">
        <f t="shared" si="22"/>
        <v>11947.95</v>
      </c>
      <c r="J84" s="19">
        <f t="shared" si="22"/>
        <v>12185.245000000001</v>
      </c>
      <c r="K84" s="19">
        <f t="shared" si="22"/>
        <v>12448.874600000001</v>
      </c>
      <c r="L84" s="19">
        <f t="shared" si="22"/>
        <v>12821.775446000001</v>
      </c>
      <c r="M84" s="19">
        <f t="shared" si="22"/>
        <v>13423.943601720002</v>
      </c>
    </row>
    <row r="85" spans="2:13" x14ac:dyDescent="0.2">
      <c r="B85" s="46" t="s">
        <v>14</v>
      </c>
      <c r="C85" s="45"/>
      <c r="D85" s="47">
        <v>5892</v>
      </c>
      <c r="E85" s="47">
        <v>6970</v>
      </c>
      <c r="F85" s="47">
        <v>7388</v>
      </c>
      <c r="G85" s="47">
        <v>8260</v>
      </c>
      <c r="H85" s="47">
        <v>8473</v>
      </c>
      <c r="I85" s="9">
        <f>H85*(1+I86)</f>
        <v>7202.05</v>
      </c>
      <c r="J85" s="9">
        <f>I85*(1+J86)</f>
        <v>7202.05</v>
      </c>
      <c r="K85" s="9">
        <f>J85*(1+K86)</f>
        <v>7490.1320000000005</v>
      </c>
      <c r="L85" s="9">
        <f>K85*(1+L86)</f>
        <v>7939.5399200000011</v>
      </c>
      <c r="M85" s="9">
        <f>L85*(1+M86)</f>
        <v>8574.7031136000023</v>
      </c>
    </row>
    <row r="86" spans="2:13" x14ac:dyDescent="0.2">
      <c r="B86" s="24" t="s">
        <v>4</v>
      </c>
      <c r="C86" s="45"/>
      <c r="D86" s="34"/>
      <c r="E86" s="33">
        <f>(E85/D85)-1</f>
        <v>0.18295994568907004</v>
      </c>
      <c r="F86" s="33">
        <f>(F85/E85)-1</f>
        <v>5.9971305595408975E-2</v>
      </c>
      <c r="G86" s="33">
        <f>(G85/F85)-1</f>
        <v>0.11802923659989162</v>
      </c>
      <c r="H86" s="33">
        <f>(H85/G85)-1</f>
        <v>2.5786924939467326E-2</v>
      </c>
      <c r="I86" s="33">
        <v>-0.15</v>
      </c>
      <c r="J86" s="33">
        <v>0</v>
      </c>
      <c r="K86" s="33">
        <v>0.04</v>
      </c>
      <c r="L86" s="33">
        <v>0.06</v>
      </c>
      <c r="M86" s="33">
        <v>0.08</v>
      </c>
    </row>
    <row r="87" spans="2:13" s="12" customFormat="1" x14ac:dyDescent="0.2">
      <c r="B87" s="48" t="s">
        <v>15</v>
      </c>
      <c r="C87" s="49"/>
      <c r="D87" s="54">
        <v>3053</v>
      </c>
      <c r="E87" s="54">
        <v>3996</v>
      </c>
      <c r="F87" s="54">
        <v>4527</v>
      </c>
      <c r="G87" s="54">
        <v>4566</v>
      </c>
      <c r="H87" s="54">
        <v>4380</v>
      </c>
      <c r="I87" s="9">
        <f>H87*(1+I88)</f>
        <v>4029.6000000000004</v>
      </c>
      <c r="J87" s="9">
        <f>I87*(1+J88)</f>
        <v>4231.0800000000008</v>
      </c>
      <c r="K87" s="9">
        <f>J87*(1+K88)</f>
        <v>4146.4584000000004</v>
      </c>
      <c r="L87" s="9">
        <f>K87*(1+L88)</f>
        <v>3980.6000640000002</v>
      </c>
      <c r="M87" s="9">
        <f>L87*(1+M88)</f>
        <v>3821.3760614399998</v>
      </c>
    </row>
    <row r="88" spans="2:13" x14ac:dyDescent="0.2">
      <c r="B88" s="24" t="s">
        <v>4</v>
      </c>
      <c r="C88" s="49"/>
      <c r="D88" s="34"/>
      <c r="E88" s="33">
        <f>(E87/D87)-1</f>
        <v>0.30887651490337364</v>
      </c>
      <c r="F88" s="33">
        <f>(F87/E87)-1</f>
        <v>0.13288288288288297</v>
      </c>
      <c r="G88" s="33">
        <f>(G87/F87)-1</f>
        <v>8.6149768058316756E-3</v>
      </c>
      <c r="H88" s="33">
        <f>(H87/G87)-1</f>
        <v>-4.0735873850197057E-2</v>
      </c>
      <c r="I88" s="33">
        <v>-0.08</v>
      </c>
      <c r="J88" s="33">
        <v>0.05</v>
      </c>
      <c r="K88" s="33">
        <v>-0.02</v>
      </c>
      <c r="L88" s="33">
        <v>-0.04</v>
      </c>
      <c r="M88" s="33">
        <v>-0.04</v>
      </c>
    </row>
    <row r="89" spans="2:13" x14ac:dyDescent="0.2">
      <c r="B89" s="46" t="s">
        <v>16</v>
      </c>
      <c r="C89" s="45"/>
      <c r="D89" s="47">
        <v>402</v>
      </c>
      <c r="E89" s="47">
        <v>490</v>
      </c>
      <c r="F89" s="47">
        <v>564</v>
      </c>
      <c r="G89" s="47">
        <v>592</v>
      </c>
      <c r="H89" s="47">
        <v>754</v>
      </c>
      <c r="I89" s="9">
        <f>H89*(1+I90)</f>
        <v>716.3</v>
      </c>
      <c r="J89" s="9">
        <f>I89*(1+J90)</f>
        <v>752.11500000000001</v>
      </c>
      <c r="K89" s="9">
        <f>J89*(1+K90)</f>
        <v>812.28420000000006</v>
      </c>
      <c r="L89" s="9">
        <f>K89*(1+L90)</f>
        <v>901.63546200000019</v>
      </c>
      <c r="M89" s="9">
        <f>L89*(1+M90)</f>
        <v>1027.8644266800004</v>
      </c>
    </row>
    <row r="90" spans="2:13" x14ac:dyDescent="0.2">
      <c r="B90" s="24" t="s">
        <v>4</v>
      </c>
      <c r="C90" s="49"/>
      <c r="D90" s="34"/>
      <c r="E90" s="33">
        <f>(E89/D89)-1</f>
        <v>0.21890547263681581</v>
      </c>
      <c r="F90" s="33">
        <f>(F89/E89)-1</f>
        <v>0.15102040816326534</v>
      </c>
      <c r="G90" s="33">
        <f>(G89/F89)-1</f>
        <v>4.9645390070921946E-2</v>
      </c>
      <c r="H90" s="33">
        <f>(H89/G89)-1</f>
        <v>0.27364864864864868</v>
      </c>
      <c r="I90" s="33">
        <v>-0.05</v>
      </c>
      <c r="J90" s="33">
        <v>0.05</v>
      </c>
      <c r="K90" s="33">
        <v>0.08</v>
      </c>
      <c r="L90" s="33">
        <v>0.11</v>
      </c>
      <c r="M90" s="33">
        <v>0.14000000000000001</v>
      </c>
    </row>
    <row r="91" spans="2:13" x14ac:dyDescent="0.2">
      <c r="B91" s="51"/>
      <c r="C91" s="49"/>
      <c r="D91" s="49"/>
      <c r="E91" s="49"/>
      <c r="F91" s="49"/>
      <c r="G91" s="49"/>
      <c r="H91" s="50"/>
      <c r="I91" s="29"/>
      <c r="J91" s="29"/>
      <c r="K91" s="29"/>
      <c r="L91" s="29"/>
      <c r="M91" s="29"/>
    </row>
    <row r="92" spans="2:13" x14ac:dyDescent="0.2">
      <c r="B92" s="44" t="s">
        <v>17</v>
      </c>
      <c r="C92" s="45"/>
      <c r="D92" s="47">
        <v>6574</v>
      </c>
      <c r="E92" s="47">
        <v>7812</v>
      </c>
      <c r="F92" s="47">
        <v>8377</v>
      </c>
      <c r="G92" s="47">
        <v>8522</v>
      </c>
      <c r="H92" s="47">
        <v>8562</v>
      </c>
      <c r="I92" s="9">
        <f>I84*I94</f>
        <v>6451.8930000000009</v>
      </c>
      <c r="J92" s="9">
        <f>J84*J94</f>
        <v>6701.8847500000011</v>
      </c>
      <c r="K92" s="9">
        <f>K84*K94</f>
        <v>6597.9035380000005</v>
      </c>
      <c r="L92" s="9">
        <f>L84*L94</f>
        <v>6667.3232319200006</v>
      </c>
      <c r="M92" s="9">
        <f>M84*M94</f>
        <v>6980.4506728944016</v>
      </c>
    </row>
    <row r="93" spans="2:13" x14ac:dyDescent="0.2">
      <c r="B93" s="24" t="s">
        <v>23</v>
      </c>
      <c r="C93" s="9"/>
      <c r="D93" s="40"/>
      <c r="E93" s="33">
        <f t="shared" ref="E93:M93" si="23">(E94/D94)-1</f>
        <v>-9.2307692307692424E-2</v>
      </c>
      <c r="F93" s="33">
        <f t="shared" si="23"/>
        <v>-0.11864406779661008</v>
      </c>
      <c r="G93" s="33">
        <f t="shared" si="23"/>
        <v>0</v>
      </c>
      <c r="H93" s="33">
        <f t="shared" si="23"/>
        <v>-1.9230769230769273E-2</v>
      </c>
      <c r="I93" s="33">
        <f t="shared" si="23"/>
        <v>5.8823529411764719E-2</v>
      </c>
      <c r="J93" s="33">
        <f t="shared" si="23"/>
        <v>1.8518518518518601E-2</v>
      </c>
      <c r="K93" s="33">
        <f t="shared" si="23"/>
        <v>-3.6363636363636376E-2</v>
      </c>
      <c r="L93" s="33">
        <f t="shared" si="23"/>
        <v>-1.8867924528301883E-2</v>
      </c>
      <c r="M93" s="33">
        <f t="shared" si="23"/>
        <v>0</v>
      </c>
    </row>
    <row r="94" spans="2:13" x14ac:dyDescent="0.2">
      <c r="B94" s="51" t="s">
        <v>19</v>
      </c>
      <c r="C94" s="45"/>
      <c r="D94" s="34">
        <v>0.65</v>
      </c>
      <c r="E94" s="34">
        <v>0.59</v>
      </c>
      <c r="F94" s="34">
        <v>0.52</v>
      </c>
      <c r="G94" s="34">
        <v>0.52</v>
      </c>
      <c r="H94" s="34">
        <v>0.51</v>
      </c>
      <c r="I94" s="33">
        <v>0.54</v>
      </c>
      <c r="J94" s="33">
        <v>0.55000000000000004</v>
      </c>
      <c r="K94" s="33">
        <v>0.53</v>
      </c>
      <c r="L94" s="33">
        <v>0.52</v>
      </c>
      <c r="M94" s="33">
        <v>0.52</v>
      </c>
    </row>
    <row r="95" spans="2:13" ht="16" x14ac:dyDescent="0.2">
      <c r="B95" s="44" t="s">
        <v>18</v>
      </c>
      <c r="C95" s="45"/>
      <c r="D95" s="52">
        <v>2773</v>
      </c>
      <c r="E95" s="52">
        <v>3644</v>
      </c>
      <c r="F95" s="52">
        <v>4102</v>
      </c>
      <c r="G95" s="52">
        <v>4896</v>
      </c>
      <c r="H95" s="47">
        <v>5045</v>
      </c>
      <c r="I95" s="30">
        <f>I97* I84</f>
        <v>5496.0569999999998</v>
      </c>
      <c r="J95" s="30">
        <f>J97* J84</f>
        <v>5483.3602499999997</v>
      </c>
      <c r="K95" s="30">
        <f>K97* K84</f>
        <v>5850.9710620000005</v>
      </c>
      <c r="L95" s="30">
        <f>L97* L84</f>
        <v>6154.4522140800009</v>
      </c>
      <c r="M95" s="30">
        <f>M97* M84</f>
        <v>6443.4929288256008</v>
      </c>
    </row>
    <row r="96" spans="2:13" ht="16" x14ac:dyDescent="0.2">
      <c r="B96" s="24" t="s">
        <v>23</v>
      </c>
      <c r="C96" s="9"/>
      <c r="D96" s="38"/>
      <c r="E96" s="33">
        <f t="shared" ref="E96:M96" si="24">(E97/D97)-1</f>
        <v>0.17142857142857149</v>
      </c>
      <c r="F96" s="33">
        <f t="shared" si="24"/>
        <v>0.1707317073170731</v>
      </c>
      <c r="G96" s="33">
        <f t="shared" si="24"/>
        <v>0</v>
      </c>
      <c r="H96" s="33">
        <f t="shared" si="24"/>
        <v>2.0833333333333259E-2</v>
      </c>
      <c r="I96" s="33">
        <f t="shared" si="24"/>
        <v>-6.1224489795918435E-2</v>
      </c>
      <c r="J96" s="33">
        <f t="shared" si="24"/>
        <v>-2.1739130434782594E-2</v>
      </c>
      <c r="K96" s="33">
        <f t="shared" si="24"/>
        <v>4.4444444444444509E-2</v>
      </c>
      <c r="L96" s="33">
        <f t="shared" si="24"/>
        <v>2.1276595744680771E-2</v>
      </c>
      <c r="M96" s="33">
        <f t="shared" si="24"/>
        <v>0</v>
      </c>
    </row>
    <row r="97" spans="2:13" x14ac:dyDescent="0.2">
      <c r="B97" s="51" t="s">
        <v>19</v>
      </c>
      <c r="C97" s="45"/>
      <c r="D97" s="33">
        <f t="shared" ref="D97:M97" si="25">1-D94</f>
        <v>0.35</v>
      </c>
      <c r="E97" s="33">
        <f t="shared" si="25"/>
        <v>0.41000000000000003</v>
      </c>
      <c r="F97" s="33">
        <f t="shared" si="25"/>
        <v>0.48</v>
      </c>
      <c r="G97" s="33">
        <f t="shared" si="25"/>
        <v>0.48</v>
      </c>
      <c r="H97" s="33">
        <f t="shared" si="25"/>
        <v>0.49</v>
      </c>
      <c r="I97" s="33">
        <f t="shared" si="25"/>
        <v>0.45999999999999996</v>
      </c>
      <c r="J97" s="33">
        <f t="shared" si="25"/>
        <v>0.44999999999999996</v>
      </c>
      <c r="K97" s="33">
        <f t="shared" si="25"/>
        <v>0.47</v>
      </c>
      <c r="L97" s="33">
        <f t="shared" si="25"/>
        <v>0.48</v>
      </c>
      <c r="M97" s="33">
        <f t="shared" si="25"/>
        <v>0.48</v>
      </c>
    </row>
    <row r="99" spans="2:13" x14ac:dyDescent="0.2">
      <c r="B99" s="2" t="s">
        <v>12</v>
      </c>
      <c r="D99" s="9">
        <v>1846</v>
      </c>
      <c r="E99" s="9">
        <v>2205</v>
      </c>
      <c r="F99" s="9">
        <v>2346</v>
      </c>
      <c r="G99" s="9">
        <v>2427</v>
      </c>
      <c r="H99" s="9">
        <v>2082</v>
      </c>
      <c r="I99" s="9">
        <f>H99*(1+I100)</f>
        <v>2082</v>
      </c>
      <c r="J99" s="9">
        <f>I99*(1+J100)</f>
        <v>2186.1</v>
      </c>
      <c r="K99" s="9">
        <f>J99*(1+K100)</f>
        <v>2295.4050000000002</v>
      </c>
      <c r="L99" s="9">
        <f>K99*(1+L100)</f>
        <v>2410.1752500000002</v>
      </c>
      <c r="M99" s="9">
        <f>L99*(1+M100)</f>
        <v>2530.6840125000003</v>
      </c>
    </row>
    <row r="100" spans="2:13" x14ac:dyDescent="0.2">
      <c r="E100" s="32">
        <f>(E99/D99)-1</f>
        <v>0.19447453954496208</v>
      </c>
      <c r="F100" s="32">
        <f>(F99/E99)-1</f>
        <v>6.3945578231292544E-2</v>
      </c>
      <c r="G100" s="32">
        <f>(G99/F99)-1</f>
        <v>3.4526854219948833E-2</v>
      </c>
      <c r="H100" s="32">
        <f>(H99/G99)-1</f>
        <v>-0.14215080346106301</v>
      </c>
      <c r="I100" s="32">
        <v>0</v>
      </c>
      <c r="J100" s="32">
        <v>0.05</v>
      </c>
      <c r="K100" s="32">
        <v>0.05</v>
      </c>
      <c r="L100" s="32">
        <v>0.05</v>
      </c>
      <c r="M100" s="32">
        <v>0.05</v>
      </c>
    </row>
    <row r="104" spans="2:13" x14ac:dyDescent="0.2">
      <c r="B104" s="2" t="s">
        <v>100</v>
      </c>
    </row>
    <row r="105" spans="2:13" x14ac:dyDescent="0.2">
      <c r="B105" s="2" t="s">
        <v>99</v>
      </c>
    </row>
    <row r="106" spans="2:13" x14ac:dyDescent="0.2">
      <c r="B106" s="2" t="s">
        <v>98</v>
      </c>
    </row>
    <row r="107" spans="2:13" x14ac:dyDescent="0.2">
      <c r="B107" s="2" t="s">
        <v>97</v>
      </c>
    </row>
    <row r="108" spans="2:13" x14ac:dyDescent="0.2">
      <c r="B108" s="2" t="s">
        <v>96</v>
      </c>
    </row>
    <row r="109" spans="2:13" x14ac:dyDescent="0.2">
      <c r="B109" s="105" t="s">
        <v>95</v>
      </c>
    </row>
    <row r="110" spans="2:13" x14ac:dyDescent="0.2">
      <c r="B110" s="105" t="s">
        <v>94</v>
      </c>
    </row>
    <row r="111" spans="2:13" ht="32" x14ac:dyDescent="0.2">
      <c r="B111" s="2" t="s">
        <v>93</v>
      </c>
      <c r="C111" s="2" t="s">
        <v>92</v>
      </c>
      <c r="D111" s="2" t="s">
        <v>91</v>
      </c>
      <c r="E111" s="104" t="s">
        <v>90</v>
      </c>
    </row>
    <row r="112" spans="2:13" x14ac:dyDescent="0.2">
      <c r="B112" s="32">
        <v>0.05</v>
      </c>
      <c r="C112" s="2">
        <v>-1.5</v>
      </c>
      <c r="D112" s="103">
        <f>C112*B112</f>
        <v>-7.5000000000000011E-2</v>
      </c>
      <c r="E112" s="102">
        <f>(1+B112)*(1+(C112*B112))-1</f>
        <v>-2.8749999999999942E-2</v>
      </c>
    </row>
    <row r="113" spans="2:5" x14ac:dyDescent="0.2">
      <c r="B113" s="32">
        <v>0.1</v>
      </c>
      <c r="C113" s="2">
        <v>-1.5</v>
      </c>
      <c r="D113" s="103">
        <f>C113*B113</f>
        <v>-0.15000000000000002</v>
      </c>
      <c r="E113" s="102">
        <f>(1+B113)*(1+(C113*B113))-1</f>
        <v>-6.4999999999999947E-2</v>
      </c>
    </row>
    <row r="114" spans="2:5" x14ac:dyDescent="0.2">
      <c r="B114" s="32">
        <v>0.15</v>
      </c>
      <c r="C114" s="2">
        <v>-1.5</v>
      </c>
      <c r="D114" s="103">
        <f>C114*B114</f>
        <v>-0.22499999999999998</v>
      </c>
      <c r="E114" s="102">
        <f>(1+B114)*(1+(C114*B114))-1</f>
        <v>-0.10875000000000001</v>
      </c>
    </row>
    <row r="115" spans="2:5" x14ac:dyDescent="0.2">
      <c r="B115" s="2" t="s">
        <v>89</v>
      </c>
    </row>
    <row r="117" spans="2:5" x14ac:dyDescent="0.2">
      <c r="E117" s="104"/>
    </row>
    <row r="118" spans="2:5" x14ac:dyDescent="0.2">
      <c r="B118" s="32"/>
      <c r="D118" s="103"/>
      <c r="E118" s="102"/>
    </row>
    <row r="119" spans="2:5" x14ac:dyDescent="0.2">
      <c r="B119" s="32"/>
      <c r="D119" s="103"/>
      <c r="E119" s="102"/>
    </row>
    <row r="120" spans="2:5" x14ac:dyDescent="0.2">
      <c r="B120" s="32"/>
      <c r="D120" s="103"/>
      <c r="E120" s="102"/>
    </row>
  </sheetData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C9DF-09F4-6048-871D-D1AA880BD469}">
  <dimension ref="B3:H22"/>
  <sheetViews>
    <sheetView showGridLines="0" zoomScale="125" workbookViewId="0">
      <selection activeCell="K9" sqref="K9"/>
    </sheetView>
  </sheetViews>
  <sheetFormatPr baseColWidth="10" defaultRowHeight="16" x14ac:dyDescent="0.2"/>
  <cols>
    <col min="2" max="2" width="24" customWidth="1"/>
  </cols>
  <sheetData>
    <row r="3" spans="2:8" x14ac:dyDescent="0.2">
      <c r="B3" t="s">
        <v>24</v>
      </c>
      <c r="C3" s="63" t="s">
        <v>25</v>
      </c>
      <c r="D3" s="63" t="s">
        <v>26</v>
      </c>
      <c r="E3" s="63" t="s">
        <v>27</v>
      </c>
      <c r="F3" s="63" t="s">
        <v>28</v>
      </c>
      <c r="G3" s="63" t="s">
        <v>29</v>
      </c>
      <c r="H3" s="63" t="s">
        <v>30</v>
      </c>
    </row>
    <row r="4" spans="2:8" x14ac:dyDescent="0.2">
      <c r="B4" s="66"/>
      <c r="C4" s="67"/>
      <c r="D4" s="67"/>
      <c r="E4" s="67"/>
      <c r="F4" s="67"/>
      <c r="G4" s="67"/>
      <c r="H4" s="67"/>
    </row>
    <row r="5" spans="2:8" x14ac:dyDescent="0.2">
      <c r="B5" s="63" t="s">
        <v>31</v>
      </c>
      <c r="C5" s="64">
        <v>51362</v>
      </c>
      <c r="D5" s="65">
        <v>46811.254999999997</v>
      </c>
      <c r="E5" s="65">
        <v>48205.387490000008</v>
      </c>
      <c r="F5" s="65">
        <v>49276.810133200001</v>
      </c>
      <c r="G5" s="65">
        <v>50379.39862146628</v>
      </c>
      <c r="H5" s="65">
        <v>51514.288498178059</v>
      </c>
    </row>
    <row r="6" spans="2:8" x14ac:dyDescent="0.2">
      <c r="B6" s="112" t="s">
        <v>32</v>
      </c>
      <c r="D6" s="113">
        <f>D5/C5-1</f>
        <v>-8.8601397920641811E-2</v>
      </c>
      <c r="E6" s="113">
        <f t="shared" ref="E6:H6" si="0">E5/D5-1</f>
        <v>2.9781993454352174E-2</v>
      </c>
      <c r="F6" s="113">
        <f t="shared" si="0"/>
        <v>2.2226201239897714E-2</v>
      </c>
      <c r="G6" s="113">
        <f t="shared" si="0"/>
        <v>2.2375403060504118E-2</v>
      </c>
      <c r="H6" s="113">
        <f t="shared" si="0"/>
        <v>2.2526864308940242E-2</v>
      </c>
    </row>
    <row r="7" spans="2:8" x14ac:dyDescent="0.2">
      <c r="B7" s="121" t="s">
        <v>33</v>
      </c>
      <c r="C7" s="122"/>
      <c r="D7" s="123">
        <v>26502.575349999999</v>
      </c>
      <c r="E7" s="123">
        <v>26512.963119499997</v>
      </c>
      <c r="F7" s="123">
        <v>25067.977258775001</v>
      </c>
      <c r="G7" s="123">
        <v>26136.456762113499</v>
      </c>
      <c r="H7" s="123">
        <v>27573.72136314918</v>
      </c>
    </row>
    <row r="8" spans="2:8" x14ac:dyDescent="0.2">
      <c r="B8" s="114" t="s">
        <v>34</v>
      </c>
      <c r="C8" s="120">
        <v>22887</v>
      </c>
      <c r="D8" s="115">
        <v>19896.884650000007</v>
      </c>
      <c r="E8" s="115">
        <v>15547.393503000007</v>
      </c>
      <c r="F8" s="115">
        <v>20510.163211725001</v>
      </c>
      <c r="G8" s="115">
        <v>21384.373714456502</v>
      </c>
      <c r="H8" s="115">
        <v>22560.317478940236</v>
      </c>
    </row>
    <row r="9" spans="2:8" x14ac:dyDescent="0.2">
      <c r="B9" s="112" t="s">
        <v>35</v>
      </c>
      <c r="C9" s="113">
        <v>0.44560180678322497</v>
      </c>
      <c r="D9" s="113">
        <v>0.4250448882432229</v>
      </c>
      <c r="E9" s="113">
        <v>0.32252398149947958</v>
      </c>
      <c r="F9" s="113">
        <v>0.41622343565429742</v>
      </c>
      <c r="G9" s="113">
        <v>0.42446663317939615</v>
      </c>
      <c r="H9" s="113">
        <v>0.4379429113097067</v>
      </c>
    </row>
    <row r="10" spans="2:8" x14ac:dyDescent="0.2">
      <c r="B10" s="63" t="s">
        <v>36</v>
      </c>
      <c r="D10" s="65">
        <v>4652.7618494999997</v>
      </c>
      <c r="E10" s="65">
        <v>4581.1042489999991</v>
      </c>
      <c r="F10" s="65">
        <v>4102.0326423449997</v>
      </c>
      <c r="G10" s="65">
        <v>4276.8747428913002</v>
      </c>
      <c r="H10" s="65">
        <v>4512.0634957880475</v>
      </c>
    </row>
    <row r="11" spans="2:8" x14ac:dyDescent="0.2">
      <c r="B11" s="63" t="s">
        <v>37</v>
      </c>
      <c r="D11" s="65">
        <v>11241.42418</v>
      </c>
      <c r="E11" s="65">
        <v>10848.4103027</v>
      </c>
      <c r="F11" s="65">
        <v>10255.081605862501</v>
      </c>
      <c r="G11" s="65">
        <v>10692.186857228251</v>
      </c>
      <c r="H11" s="65">
        <v>11280.158739470118</v>
      </c>
    </row>
    <row r="12" spans="2:8" x14ac:dyDescent="0.2">
      <c r="B12" s="63" t="s">
        <v>38</v>
      </c>
      <c r="D12" s="65">
        <v>-707.46284926560475</v>
      </c>
      <c r="E12" s="65">
        <v>286.31484727569796</v>
      </c>
      <c r="F12" s="65">
        <v>-297.55688697557707</v>
      </c>
      <c r="G12" s="65">
        <v>-335.8743386638198</v>
      </c>
      <c r="H12" s="65">
        <v>-293.6204758189815</v>
      </c>
    </row>
    <row r="13" spans="2:8" x14ac:dyDescent="0.2">
      <c r="B13" s="114" t="s">
        <v>39</v>
      </c>
      <c r="C13" s="109"/>
      <c r="D13" s="115">
        <f>D8-SUM(D10:D12)</f>
        <v>4710.1614697656114</v>
      </c>
      <c r="E13" s="115">
        <f t="shared" ref="E13:H13" si="1">E8-SUM(E10:E12)</f>
        <v>-168.43589597569007</v>
      </c>
      <c r="F13" s="115">
        <f t="shared" si="1"/>
        <v>6450.605850493077</v>
      </c>
      <c r="G13" s="115">
        <f t="shared" si="1"/>
        <v>6751.1864530007697</v>
      </c>
      <c r="H13" s="115">
        <f t="shared" si="1"/>
        <v>7061.7157195010514</v>
      </c>
    </row>
    <row r="14" spans="2:8" x14ac:dyDescent="0.2">
      <c r="B14" s="63" t="s">
        <v>40</v>
      </c>
      <c r="D14" s="65">
        <v>732.48884931506848</v>
      </c>
      <c r="E14" s="65">
        <v>761.69213676827007</v>
      </c>
      <c r="F14" s="65">
        <v>781.83947150934318</v>
      </c>
      <c r="G14" s="65">
        <v>965.86430082850757</v>
      </c>
      <c r="H14" s="65">
        <v>1125.9877448961811</v>
      </c>
    </row>
    <row r="15" spans="2:8" x14ac:dyDescent="0.2">
      <c r="B15" s="63" t="s">
        <v>41</v>
      </c>
      <c r="D15" s="65">
        <v>765</v>
      </c>
      <c r="E15" s="65">
        <v>800</v>
      </c>
      <c r="F15" s="65">
        <v>800</v>
      </c>
      <c r="G15" s="65">
        <v>800</v>
      </c>
      <c r="H15" s="65">
        <v>800</v>
      </c>
    </row>
    <row r="16" spans="2:8" x14ac:dyDescent="0.2">
      <c r="B16" s="114" t="s">
        <v>42</v>
      </c>
      <c r="C16" s="118"/>
      <c r="D16" s="119">
        <f>D13+SUM(D14:D15)</f>
        <v>6207.6503190806798</v>
      </c>
      <c r="E16" s="119">
        <f t="shared" ref="E16:H16" si="2">E13+SUM(E14:E15)</f>
        <v>1393.25624079258</v>
      </c>
      <c r="F16" s="119">
        <f t="shared" si="2"/>
        <v>8032.4453220024207</v>
      </c>
      <c r="G16" s="119">
        <f t="shared" si="2"/>
        <v>8517.0507538292768</v>
      </c>
      <c r="H16" s="119">
        <f t="shared" si="2"/>
        <v>8987.7034643972329</v>
      </c>
    </row>
    <row r="17" spans="2:8" x14ac:dyDescent="0.2">
      <c r="B17" s="63" t="s">
        <v>43</v>
      </c>
      <c r="D17" s="65">
        <v>307.31726027397258</v>
      </c>
      <c r="E17" s="65">
        <v>313.60000000000002</v>
      </c>
      <c r="F17" s="65">
        <v>448</v>
      </c>
      <c r="G17" s="65">
        <v>448</v>
      </c>
      <c r="H17" s="65">
        <v>448</v>
      </c>
    </row>
    <row r="18" spans="2:8" x14ac:dyDescent="0.2">
      <c r="B18" s="63" t="s">
        <v>44</v>
      </c>
      <c r="D18" s="65">
        <v>-326.37090410958905</v>
      </c>
      <c r="E18" s="65">
        <v>-60.073675052848074</v>
      </c>
      <c r="F18" s="65">
        <v>-69.581690575484487</v>
      </c>
      <c r="G18" s="65">
        <v>-74.073274938679901</v>
      </c>
      <c r="H18" s="65">
        <v>-82.594161756881135</v>
      </c>
    </row>
    <row r="19" spans="2:8" x14ac:dyDescent="0.2">
      <c r="B19" s="114" t="s">
        <v>45</v>
      </c>
      <c r="C19" s="109"/>
      <c r="D19" s="115">
        <f>D13-SUM(D17:D18)</f>
        <v>4729.215113601228</v>
      </c>
      <c r="E19" s="115">
        <f t="shared" ref="E19:H19" si="3">E13-SUM(E17:E18)</f>
        <v>-421.96222092284199</v>
      </c>
      <c r="F19" s="115">
        <f t="shared" si="3"/>
        <v>6072.1875410685616</v>
      </c>
      <c r="G19" s="115">
        <f t="shared" si="3"/>
        <v>6377.2597279394495</v>
      </c>
      <c r="H19" s="115">
        <f t="shared" si="3"/>
        <v>6696.3098812579328</v>
      </c>
    </row>
    <row r="20" spans="2:8" x14ac:dyDescent="0.2">
      <c r="B20" s="63" t="s">
        <v>46</v>
      </c>
      <c r="D20" s="65">
        <v>1127.0422249922688</v>
      </c>
      <c r="E20" s="65">
        <v>1144.61372931543</v>
      </c>
      <c r="F20" s="65">
        <v>1335.881259035084</v>
      </c>
      <c r="G20" s="65">
        <v>1402.9971401466789</v>
      </c>
      <c r="H20" s="65">
        <v>1473.1881738767456</v>
      </c>
    </row>
    <row r="21" spans="2:8" x14ac:dyDescent="0.2">
      <c r="B21" s="116" t="s">
        <v>47</v>
      </c>
      <c r="C21" s="111"/>
      <c r="D21" s="117">
        <v>-284.72040454404885</v>
      </c>
      <c r="E21" s="117">
        <v>-400.61480526040054</v>
      </c>
      <c r="F21" s="117">
        <v>-242.88750164274254</v>
      </c>
      <c r="G21" s="117">
        <v>-255.09038911757798</v>
      </c>
      <c r="H21" s="117">
        <v>-267.85239525031739</v>
      </c>
    </row>
    <row r="22" spans="2:8" x14ac:dyDescent="0.2">
      <c r="B22" s="63" t="s">
        <v>48</v>
      </c>
      <c r="D22" s="65">
        <f>D19-SUM(D20:D21)</f>
        <v>3886.893293153008</v>
      </c>
      <c r="E22" s="65">
        <f t="shared" ref="E22:H22" si="4">E19-SUM(E20:E21)</f>
        <v>-1165.9611449778713</v>
      </c>
      <c r="F22" s="65">
        <f t="shared" si="4"/>
        <v>4979.1937836762199</v>
      </c>
      <c r="G22" s="65">
        <f t="shared" si="4"/>
        <v>5229.3529769103488</v>
      </c>
      <c r="H22" s="65">
        <f t="shared" si="4"/>
        <v>5490.9741026315041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C29C-58DB-2F4A-A1F2-BA65256A1724}">
  <dimension ref="A1:S52"/>
  <sheetViews>
    <sheetView showGridLines="0" tabSelected="1" topLeftCell="A2" workbookViewId="0">
      <selection activeCell="F8" sqref="F8"/>
    </sheetView>
  </sheetViews>
  <sheetFormatPr baseColWidth="10" defaultRowHeight="16" x14ac:dyDescent="0.2"/>
  <cols>
    <col min="4" max="4" width="20.5" bestFit="1" customWidth="1"/>
    <col min="5" max="7" width="11" bestFit="1" customWidth="1"/>
    <col min="8" max="8" width="11.1640625" bestFit="1" customWidth="1"/>
    <col min="9" max="10" width="11.33203125" bestFit="1" customWidth="1"/>
    <col min="11" max="11" width="12.6640625" customWidth="1"/>
    <col min="12" max="12" width="13" bestFit="1" customWidth="1"/>
  </cols>
  <sheetData>
    <row r="1" spans="1:17" x14ac:dyDescent="0.2">
      <c r="A1" t="s">
        <v>53</v>
      </c>
    </row>
    <row r="3" spans="1:17" x14ac:dyDescent="0.2">
      <c r="B3" s="1" t="s">
        <v>7</v>
      </c>
      <c r="C3" s="2"/>
      <c r="D3" s="2"/>
      <c r="E3" s="2"/>
      <c r="G3" s="2"/>
      <c r="H3" s="2"/>
      <c r="I3" s="2"/>
      <c r="J3" s="2"/>
      <c r="K3" s="2"/>
      <c r="L3" s="2"/>
    </row>
    <row r="4" spans="1:17" x14ac:dyDescent="0.2">
      <c r="B4" s="2"/>
      <c r="C4" s="2"/>
      <c r="D4" s="2"/>
      <c r="E4" s="2"/>
      <c r="G4" s="2"/>
      <c r="H4" s="2"/>
      <c r="I4" s="2"/>
      <c r="J4" s="2"/>
      <c r="K4" s="2"/>
      <c r="L4" s="2"/>
    </row>
    <row r="5" spans="1:17" x14ac:dyDescent="0.2">
      <c r="B5" s="1" t="s">
        <v>54</v>
      </c>
      <c r="C5" s="2"/>
      <c r="D5" s="2"/>
      <c r="E5" s="2"/>
      <c r="G5" s="2"/>
      <c r="H5" s="2"/>
      <c r="I5" s="2"/>
      <c r="J5" s="2"/>
      <c r="K5" s="2"/>
      <c r="L5" s="2"/>
    </row>
    <row r="6" spans="1:17" x14ac:dyDescent="0.2">
      <c r="B6" s="3" t="s">
        <v>55</v>
      </c>
      <c r="C6" s="2"/>
      <c r="D6" s="2"/>
      <c r="E6" s="2"/>
      <c r="G6" s="2"/>
      <c r="H6" s="2"/>
      <c r="I6" s="2"/>
      <c r="J6" s="2"/>
      <c r="K6" s="2"/>
      <c r="L6" s="2"/>
    </row>
    <row r="7" spans="1:17" x14ac:dyDescent="0.2">
      <c r="B7" s="3"/>
      <c r="C7" s="2"/>
      <c r="D7" s="2"/>
      <c r="E7" s="2"/>
      <c r="G7" s="2"/>
      <c r="H7" s="2"/>
      <c r="I7" s="2"/>
      <c r="J7" s="2"/>
      <c r="K7" s="2"/>
      <c r="L7" s="2"/>
    </row>
    <row r="8" spans="1:17" x14ac:dyDescent="0.2">
      <c r="B8" s="2"/>
      <c r="C8" s="2"/>
      <c r="D8" s="2"/>
      <c r="E8" s="2"/>
      <c r="G8" s="2"/>
      <c r="H8" s="2"/>
      <c r="I8" s="2"/>
      <c r="J8" s="2"/>
      <c r="K8" s="2"/>
      <c r="L8" s="2"/>
    </row>
    <row r="9" spans="1:17" x14ac:dyDescent="0.2">
      <c r="B9" s="71" t="s">
        <v>67</v>
      </c>
      <c r="D9" s="70" t="s">
        <v>56</v>
      </c>
      <c r="E9" s="70" t="s">
        <v>57</v>
      </c>
      <c r="F9" s="70" t="s">
        <v>58</v>
      </c>
      <c r="G9" s="69" t="s">
        <v>59</v>
      </c>
      <c r="H9" s="69" t="s">
        <v>60</v>
      </c>
      <c r="I9" s="69" t="s">
        <v>68</v>
      </c>
      <c r="J9" s="69" t="s">
        <v>69</v>
      </c>
      <c r="K9" s="69" t="s">
        <v>70</v>
      </c>
      <c r="P9" s="110" t="s">
        <v>104</v>
      </c>
      <c r="Q9" s="109"/>
    </row>
    <row r="10" spans="1:17" x14ac:dyDescent="0.2">
      <c r="B10" s="99" t="s">
        <v>73</v>
      </c>
      <c r="C10" s="96"/>
      <c r="D10" s="97"/>
      <c r="E10" s="97"/>
      <c r="F10" s="97"/>
      <c r="G10" s="98"/>
      <c r="H10" s="98"/>
      <c r="I10" s="98"/>
      <c r="J10" s="98"/>
      <c r="K10" s="98"/>
      <c r="P10" t="s">
        <v>49</v>
      </c>
      <c r="Q10">
        <f>Q12*Q13+(1-0.2)*Q15*Q16</f>
        <v>8.1659023472318515E-2</v>
      </c>
    </row>
    <row r="11" spans="1:17" x14ac:dyDescent="0.2">
      <c r="D11" s="70"/>
      <c r="E11" s="70"/>
      <c r="F11" s="70"/>
      <c r="G11" s="83"/>
      <c r="H11" s="83"/>
      <c r="I11" s="83"/>
      <c r="J11" s="83"/>
      <c r="K11" s="83"/>
      <c r="P11" t="s">
        <v>75</v>
      </c>
      <c r="Q11">
        <v>92010</v>
      </c>
    </row>
    <row r="12" spans="1:17" x14ac:dyDescent="0.2">
      <c r="B12" s="71" t="s">
        <v>31</v>
      </c>
      <c r="D12" s="75">
        <v>46710</v>
      </c>
      <c r="E12" s="75">
        <v>51217</v>
      </c>
      <c r="F12" s="75">
        <v>51362</v>
      </c>
      <c r="G12" s="84">
        <f>'P&amp;L'!D5</f>
        <v>46811.254999999997</v>
      </c>
      <c r="H12" s="84">
        <f>'P&amp;L'!E5</f>
        <v>48205.387490000008</v>
      </c>
      <c r="I12" s="84">
        <f>'P&amp;L'!F5</f>
        <v>49276.810133200001</v>
      </c>
      <c r="J12" s="84">
        <f>'P&amp;L'!G5</f>
        <v>50379.39862146628</v>
      </c>
      <c r="K12" s="84">
        <f>'P&amp;L'!H5</f>
        <v>51514.288498178059</v>
      </c>
      <c r="P12" t="s">
        <v>76</v>
      </c>
      <c r="Q12">
        <f>1-Q15</f>
        <v>0.91126077052589882</v>
      </c>
    </row>
    <row r="13" spans="1:17" x14ac:dyDescent="0.2">
      <c r="D13" s="68"/>
      <c r="E13" s="68"/>
      <c r="F13" s="68"/>
      <c r="G13" s="85"/>
      <c r="H13" s="85"/>
      <c r="I13" s="85"/>
      <c r="J13" s="85"/>
      <c r="K13" s="85"/>
      <c r="P13" t="s">
        <v>51</v>
      </c>
      <c r="Q13">
        <f>Q17+(Q18*Q19)</f>
        <v>8.5559999999999997E-2</v>
      </c>
    </row>
    <row r="14" spans="1:17" x14ac:dyDescent="0.2">
      <c r="B14" s="71" t="s">
        <v>39</v>
      </c>
      <c r="D14" s="76">
        <v>6195</v>
      </c>
      <c r="E14" s="76">
        <v>6195</v>
      </c>
      <c r="F14" s="78">
        <v>6539</v>
      </c>
      <c r="G14" s="86">
        <f>'P&amp;L'!D13</f>
        <v>4710.1614697656114</v>
      </c>
      <c r="H14" s="86">
        <f>'P&amp;L'!E13</f>
        <v>-168.43589597569007</v>
      </c>
      <c r="I14" s="86">
        <f>'P&amp;L'!F13</f>
        <v>6450.605850493077</v>
      </c>
      <c r="J14" s="86">
        <f>'P&amp;L'!G13</f>
        <v>6751.1864530007697</v>
      </c>
      <c r="K14" s="86">
        <f>'P&amp;L'!H13</f>
        <v>7061.7157195010514</v>
      </c>
      <c r="P14" t="s">
        <v>77</v>
      </c>
      <c r="Q14">
        <v>8960</v>
      </c>
    </row>
    <row r="15" spans="1:17" x14ac:dyDescent="0.2">
      <c r="B15" s="79" t="s">
        <v>72</v>
      </c>
      <c r="C15" s="79"/>
      <c r="D15" s="80">
        <f>D14/D12</f>
        <v>0.13262684649967887</v>
      </c>
      <c r="E15" s="80">
        <f t="shared" ref="E15:K15" si="0">E14/E12</f>
        <v>0.12095593260050373</v>
      </c>
      <c r="F15" s="80">
        <f t="shared" si="0"/>
        <v>0.12731202055994703</v>
      </c>
      <c r="G15" s="87">
        <f t="shared" si="0"/>
        <v>0.10062027753294825</v>
      </c>
      <c r="H15" s="87">
        <f t="shared" si="0"/>
        <v>-3.4941301117148234E-3</v>
      </c>
      <c r="I15" s="87">
        <f t="shared" si="0"/>
        <v>0.13090550774403747</v>
      </c>
      <c r="J15" s="87">
        <f t="shared" si="0"/>
        <v>0.13400688848485262</v>
      </c>
      <c r="K15" s="87">
        <f t="shared" si="0"/>
        <v>0.13708266046906206</v>
      </c>
      <c r="P15" t="s">
        <v>78</v>
      </c>
      <c r="Q15">
        <f>Q14/(Q11+Q14)</f>
        <v>8.8739229474101219E-2</v>
      </c>
    </row>
    <row r="16" spans="1:17" x14ac:dyDescent="0.2">
      <c r="B16" s="71"/>
      <c r="D16" s="76"/>
      <c r="E16" s="76"/>
      <c r="F16" s="78"/>
      <c r="G16" s="86"/>
      <c r="H16" s="86"/>
      <c r="I16" s="86"/>
      <c r="J16" s="86"/>
      <c r="K16" s="86"/>
      <c r="P16" t="s">
        <v>50</v>
      </c>
      <c r="Q16">
        <v>5.1999999999999998E-2</v>
      </c>
    </row>
    <row r="17" spans="2:17" x14ac:dyDescent="0.2">
      <c r="B17" s="100" t="s">
        <v>63</v>
      </c>
      <c r="C17" s="93"/>
      <c r="D17" s="94"/>
      <c r="E17" s="94"/>
      <c r="F17" s="94"/>
      <c r="G17" s="94"/>
      <c r="H17" s="94"/>
      <c r="I17" s="94"/>
      <c r="J17" s="94"/>
      <c r="K17" s="95"/>
      <c r="P17" t="s">
        <v>79</v>
      </c>
      <c r="Q17">
        <v>4.4999999999999998E-2</v>
      </c>
    </row>
    <row r="18" spans="2:17" x14ac:dyDescent="0.2">
      <c r="G18" s="88"/>
      <c r="H18" s="88"/>
      <c r="I18" s="88"/>
      <c r="J18" s="88"/>
      <c r="K18" s="88"/>
      <c r="P18" t="s">
        <v>107</v>
      </c>
      <c r="Q18">
        <v>0.78</v>
      </c>
    </row>
    <row r="19" spans="2:17" x14ac:dyDescent="0.2">
      <c r="B19" s="71" t="s">
        <v>61</v>
      </c>
      <c r="D19" s="76">
        <f>(D14*D20)</f>
        <v>1168.9557961208841</v>
      </c>
      <c r="E19" s="76">
        <f t="shared" ref="E19:K19" si="1">(E14*E20)</f>
        <v>1246.7924528301887</v>
      </c>
      <c r="F19" s="78">
        <f t="shared" si="1"/>
        <v>1461.0273134328359</v>
      </c>
      <c r="G19" s="86">
        <f t="shared" si="1"/>
        <v>751.57853483229746</v>
      </c>
      <c r="H19" s="86">
        <f t="shared" si="1"/>
        <v>-33.687179195138015</v>
      </c>
      <c r="I19" s="86">
        <f t="shared" si="1"/>
        <v>1290.1211700986155</v>
      </c>
      <c r="J19" s="86">
        <f t="shared" si="1"/>
        <v>1350.237290600154</v>
      </c>
      <c r="K19" s="86">
        <f t="shared" si="1"/>
        <v>1412.3431439002104</v>
      </c>
      <c r="P19" t="s">
        <v>80</v>
      </c>
      <c r="Q19">
        <v>5.1999999999999998E-2</v>
      </c>
    </row>
    <row r="20" spans="2:17" x14ac:dyDescent="0.2">
      <c r="B20" s="81" t="s">
        <v>62</v>
      </c>
      <c r="C20" s="81"/>
      <c r="D20" s="82">
        <v>0.18869342955946475</v>
      </c>
      <c r="E20" s="82">
        <v>0.20125786163522014</v>
      </c>
      <c r="F20" s="82">
        <v>0.22343283582089551</v>
      </c>
      <c r="G20" s="89">
        <f>(0.0592+0.1787+0.1959+AVERAGE(F20,E20,D20))/4</f>
        <v>0.15956534391796504</v>
      </c>
      <c r="H20" s="89">
        <v>0.2</v>
      </c>
      <c r="I20" s="89">
        <v>0.2</v>
      </c>
      <c r="J20" s="89">
        <v>0.2</v>
      </c>
      <c r="K20" s="89">
        <v>0.2</v>
      </c>
      <c r="N20" t="s">
        <v>84</v>
      </c>
      <c r="P20" t="s">
        <v>85</v>
      </c>
      <c r="Q20">
        <v>10400</v>
      </c>
    </row>
    <row r="21" spans="2:17" x14ac:dyDescent="0.2">
      <c r="D21" s="77"/>
      <c r="E21" s="77"/>
      <c r="F21" s="77"/>
      <c r="G21" s="90"/>
      <c r="H21" s="90"/>
      <c r="I21" s="90"/>
      <c r="J21" s="90"/>
      <c r="K21" s="90"/>
    </row>
    <row r="22" spans="2:17" x14ac:dyDescent="0.2">
      <c r="B22" s="71" t="s">
        <v>64</v>
      </c>
      <c r="D22" s="75">
        <v>717</v>
      </c>
      <c r="E22" s="75">
        <v>703</v>
      </c>
      <c r="F22" s="75">
        <v>796</v>
      </c>
      <c r="G22" s="86">
        <f>'P&amp;L'!D14</f>
        <v>732.48884931506848</v>
      </c>
      <c r="H22" s="86">
        <f>'P&amp;L'!E14</f>
        <v>761.69213676827007</v>
      </c>
      <c r="I22" s="86">
        <f>'P&amp;L'!F14</f>
        <v>781.83947150934318</v>
      </c>
      <c r="J22" s="86">
        <f>'P&amp;L'!G14</f>
        <v>965.86430082850757</v>
      </c>
      <c r="K22" s="86">
        <f>'P&amp;L'!H14</f>
        <v>1125.9877448961811</v>
      </c>
      <c r="P22" s="110" t="s">
        <v>112</v>
      </c>
      <c r="Q22" s="109"/>
    </row>
    <row r="23" spans="2:17" x14ac:dyDescent="0.2">
      <c r="B23" s="79" t="s">
        <v>72</v>
      </c>
      <c r="C23" s="79"/>
      <c r="D23" s="80">
        <f t="shared" ref="D23:K23" si="2">(D22/D12)</f>
        <v>1.5350032113037893E-2</v>
      </c>
      <c r="E23" s="80">
        <f t="shared" si="2"/>
        <v>1.3725911318507526E-2</v>
      </c>
      <c r="F23" s="80">
        <f t="shared" si="2"/>
        <v>1.5497838869202913E-2</v>
      </c>
      <c r="G23" s="87">
        <f t="shared" si="2"/>
        <v>1.5647707999178157E-2</v>
      </c>
      <c r="H23" s="87">
        <f t="shared" si="2"/>
        <v>1.5800975294022471E-2</v>
      </c>
      <c r="I23" s="87">
        <f t="shared" si="2"/>
        <v>1.5866276031178871E-2</v>
      </c>
      <c r="J23" s="87">
        <f t="shared" si="2"/>
        <v>1.9171810844462126E-2</v>
      </c>
      <c r="K23" s="87">
        <f t="shared" si="2"/>
        <v>2.185777534200059E-2</v>
      </c>
      <c r="P23" t="s">
        <v>108</v>
      </c>
      <c r="Q23">
        <v>9.4700000000000006</v>
      </c>
    </row>
    <row r="24" spans="2:17" x14ac:dyDescent="0.2">
      <c r="D24" s="68"/>
      <c r="E24" s="68"/>
      <c r="F24" s="68"/>
      <c r="G24" s="85"/>
      <c r="H24" s="85"/>
      <c r="I24" s="85"/>
      <c r="J24" s="85"/>
      <c r="K24" s="85"/>
      <c r="P24" t="s">
        <v>109</v>
      </c>
      <c r="Q24">
        <v>11.52</v>
      </c>
    </row>
    <row r="25" spans="2:17" x14ac:dyDescent="0.2">
      <c r="B25" s="71" t="s">
        <v>71</v>
      </c>
      <c r="D25" s="75">
        <v>758</v>
      </c>
      <c r="E25" s="75">
        <v>969</v>
      </c>
      <c r="F25" s="75">
        <v>812</v>
      </c>
      <c r="G25" s="128">
        <f>(213+120+129+AVERAGE(213,269,242))</f>
        <v>703.33333333333337</v>
      </c>
      <c r="H25" s="84">
        <f>G25*(1.22)</f>
        <v>858.06666666666672</v>
      </c>
      <c r="I25" s="84">
        <f>H25*1.15</f>
        <v>986.77666666666664</v>
      </c>
      <c r="J25" s="84">
        <f>I25*1.025</f>
        <v>1011.4460833333333</v>
      </c>
      <c r="K25" s="84">
        <f>J25*1.015</f>
        <v>1026.6177745833331</v>
      </c>
      <c r="P25" t="s">
        <v>114</v>
      </c>
      <c r="Q25">
        <v>14.16</v>
      </c>
    </row>
    <row r="26" spans="2:17" x14ac:dyDescent="0.2">
      <c r="B26" s="79" t="s">
        <v>72</v>
      </c>
      <c r="C26" s="79"/>
      <c r="D26" s="80">
        <f t="shared" ref="D26:K26" si="3">(D25/D12)</f>
        <v>1.6227788482123744E-2</v>
      </c>
      <c r="E26" s="80">
        <f t="shared" si="3"/>
        <v>1.8919499384969833E-2</v>
      </c>
      <c r="F26" s="80">
        <f t="shared" si="3"/>
        <v>1.5809353218332621E-2</v>
      </c>
      <c r="G26" s="87">
        <f t="shared" si="3"/>
        <v>1.5024876674067666E-2</v>
      </c>
      <c r="H26" s="87">
        <f t="shared" si="3"/>
        <v>1.7800223405416433E-2</v>
      </c>
      <c r="I26" s="87">
        <f t="shared" si="3"/>
        <v>2.0025173382759831E-2</v>
      </c>
      <c r="J26" s="87">
        <f t="shared" si="3"/>
        <v>2.0076581122633008E-2</v>
      </c>
      <c r="K26" s="87">
        <f t="shared" si="3"/>
        <v>1.992879654388786E-2</v>
      </c>
      <c r="P26" t="s">
        <v>110</v>
      </c>
      <c r="Q26" s="73">
        <v>15.26</v>
      </c>
    </row>
    <row r="27" spans="2:17" x14ac:dyDescent="0.2">
      <c r="G27" s="88"/>
      <c r="H27" s="88"/>
      <c r="I27" s="88"/>
      <c r="J27" s="88"/>
      <c r="K27" s="88"/>
      <c r="P27" t="s">
        <v>111</v>
      </c>
      <c r="Q27">
        <v>17.37</v>
      </c>
    </row>
    <row r="28" spans="2:17" x14ac:dyDescent="0.2">
      <c r="B28" s="71" t="s">
        <v>65</v>
      </c>
      <c r="D28" s="72">
        <v>-1660</v>
      </c>
      <c r="E28" s="72">
        <v>-513</v>
      </c>
      <c r="F28" s="72">
        <v>716</v>
      </c>
      <c r="G28" s="91">
        <v>733</v>
      </c>
      <c r="H28" s="92">
        <f>H29*H12</f>
        <v>-482.0538749000001</v>
      </c>
      <c r="I28" s="92">
        <f>I29*I12</f>
        <v>-492.76810133200001</v>
      </c>
      <c r="J28" s="92">
        <f>J29*J12</f>
        <v>-503.79398621466282</v>
      </c>
      <c r="K28" s="92">
        <f>K29*K12</f>
        <v>-515.14288498178064</v>
      </c>
      <c r="P28" t="s">
        <v>113</v>
      </c>
      <c r="Q28">
        <f>AVERAGE(Q23:Q27)</f>
        <v>13.556000000000001</v>
      </c>
    </row>
    <row r="29" spans="2:17" x14ac:dyDescent="0.2">
      <c r="B29" s="79" t="s">
        <v>72</v>
      </c>
      <c r="D29" s="80">
        <f>D28/D12</f>
        <v>-3.5538428602012416E-2</v>
      </c>
      <c r="E29" s="80">
        <f>E28/E12</f>
        <v>-1.0016205556748736E-2</v>
      </c>
      <c r="F29" s="80">
        <f>F28/F12</f>
        <v>1.394026712355438E-2</v>
      </c>
      <c r="G29" s="87">
        <f>G28/G12</f>
        <v>1.5658627396338765E-2</v>
      </c>
      <c r="H29" s="87">
        <f>-1%</f>
        <v>-0.01</v>
      </c>
      <c r="I29" s="87">
        <f>-1%</f>
        <v>-0.01</v>
      </c>
      <c r="J29" s="87">
        <f>-1%</f>
        <v>-0.01</v>
      </c>
      <c r="K29" s="87">
        <f>-1%</f>
        <v>-0.01</v>
      </c>
    </row>
    <row r="30" spans="2:17" x14ac:dyDescent="0.2">
      <c r="G30" s="88"/>
      <c r="H30" s="88"/>
      <c r="I30" s="88"/>
      <c r="J30" s="88"/>
      <c r="K30" s="88"/>
    </row>
    <row r="31" spans="2:17" x14ac:dyDescent="0.2">
      <c r="B31" s="100" t="s">
        <v>54</v>
      </c>
      <c r="C31" s="93"/>
      <c r="D31" s="94"/>
      <c r="E31" s="94"/>
      <c r="F31" s="94"/>
      <c r="G31" s="94"/>
      <c r="H31" s="94"/>
      <c r="I31" s="94"/>
      <c r="J31" s="94"/>
      <c r="K31" s="95"/>
    </row>
    <row r="32" spans="2:17" x14ac:dyDescent="0.2">
      <c r="G32" s="88"/>
      <c r="H32" s="88"/>
      <c r="I32" s="88"/>
      <c r="J32" s="88"/>
      <c r="K32" s="88"/>
    </row>
    <row r="33" spans="2:19" x14ac:dyDescent="0.2">
      <c r="B33" s="71" t="s">
        <v>66</v>
      </c>
      <c r="D33" s="72">
        <f>D14*(1-D20)</f>
        <v>5026.0442038791161</v>
      </c>
      <c r="E33" s="72">
        <f t="shared" ref="E33:K33" si="4">E14*(1-E20)</f>
        <v>4948.2075471698117</v>
      </c>
      <c r="F33" s="72">
        <f t="shared" si="4"/>
        <v>5077.9726865671646</v>
      </c>
      <c r="G33" s="91">
        <f t="shared" si="4"/>
        <v>3958.5829349333139</v>
      </c>
      <c r="H33" s="91">
        <f t="shared" si="4"/>
        <v>-134.74871678055206</v>
      </c>
      <c r="I33" s="91">
        <f t="shared" si="4"/>
        <v>5160.484680394462</v>
      </c>
      <c r="J33" s="91">
        <f t="shared" si="4"/>
        <v>5400.9491624006159</v>
      </c>
      <c r="K33" s="91">
        <f t="shared" si="4"/>
        <v>5649.3725756008416</v>
      </c>
    </row>
    <row r="34" spans="2:19" x14ac:dyDescent="0.2">
      <c r="B34" s="79" t="s">
        <v>72</v>
      </c>
      <c r="D34" s="80">
        <f>D33/D12</f>
        <v>0.10760103198199777</v>
      </c>
      <c r="E34" s="80">
        <f t="shared" ref="E34:K34" si="5">E33/E12</f>
        <v>9.6612600253232553E-2</v>
      </c>
      <c r="F34" s="80">
        <f t="shared" si="5"/>
        <v>9.8866334772149927E-2</v>
      </c>
      <c r="G34" s="87">
        <f t="shared" si="5"/>
        <v>8.4564768343282276E-2</v>
      </c>
      <c r="H34" s="87">
        <f t="shared" si="5"/>
        <v>-2.7953040893718586E-3</v>
      </c>
      <c r="I34" s="87">
        <f t="shared" si="5"/>
        <v>0.10472440619522999</v>
      </c>
      <c r="J34" s="87">
        <f t="shared" si="5"/>
        <v>0.1072055107878821</v>
      </c>
      <c r="K34" s="87">
        <f t="shared" si="5"/>
        <v>0.10966612837524965</v>
      </c>
    </row>
    <row r="35" spans="2:19" x14ac:dyDescent="0.2">
      <c r="F35" s="74"/>
      <c r="G35" s="88"/>
      <c r="H35" s="88"/>
      <c r="I35" s="88"/>
      <c r="J35" s="88"/>
      <c r="K35" s="88"/>
    </row>
    <row r="36" spans="2:19" x14ac:dyDescent="0.2">
      <c r="B36" s="71" t="s">
        <v>87</v>
      </c>
      <c r="D36" s="72">
        <f t="shared" ref="D36:K36" si="6">D33+D22-D25+D28</f>
        <v>3325.0442038791161</v>
      </c>
      <c r="E36" s="72">
        <f t="shared" si="6"/>
        <v>4169.2075471698117</v>
      </c>
      <c r="F36" s="72">
        <f t="shared" si="6"/>
        <v>5777.9726865671646</v>
      </c>
      <c r="G36" s="91">
        <f t="shared" si="6"/>
        <v>4720.7384509150488</v>
      </c>
      <c r="H36" s="91">
        <f t="shared" si="6"/>
        <v>-713.1771215789488</v>
      </c>
      <c r="I36" s="91">
        <f t="shared" si="6"/>
        <v>4462.7793839051392</v>
      </c>
      <c r="J36" s="91">
        <f t="shared" si="6"/>
        <v>4851.5733936811275</v>
      </c>
      <c r="K36" s="91">
        <f t="shared" si="6"/>
        <v>5233.5996609319091</v>
      </c>
    </row>
    <row r="37" spans="2:19" x14ac:dyDescent="0.2">
      <c r="B37" s="81" t="s">
        <v>74</v>
      </c>
      <c r="G37" s="101">
        <f>G36/(1+Q10)^1</f>
        <v>4364.3498999903277</v>
      </c>
      <c r="H37" s="101">
        <f>H36/(1+Q10)^2</f>
        <v>-609.5602626183445</v>
      </c>
      <c r="I37" s="101">
        <f>I36/(1+Q10)^3</f>
        <v>3526.4220246940467</v>
      </c>
      <c r="J37" s="101">
        <f>J36/(1+Q10)^4</f>
        <v>3544.2234538420053</v>
      </c>
      <c r="K37" s="107">
        <f>K36/(1+Q10)^5</f>
        <v>3534.6678563581568</v>
      </c>
      <c r="M37" s="72"/>
      <c r="N37" s="72"/>
      <c r="O37" s="72"/>
      <c r="R37" s="72"/>
      <c r="S37" s="72"/>
    </row>
    <row r="38" spans="2:19" x14ac:dyDescent="0.2">
      <c r="B38" s="71"/>
      <c r="G38" s="88"/>
      <c r="H38" s="88"/>
      <c r="I38" s="88"/>
      <c r="J38" s="88"/>
      <c r="K38" s="108">
        <f>SUM(G37:K37)</f>
        <v>14360.102972266193</v>
      </c>
    </row>
    <row r="39" spans="2:19" x14ac:dyDescent="0.2">
      <c r="G39" s="88"/>
      <c r="H39" s="88"/>
      <c r="I39" s="88"/>
      <c r="J39" s="88"/>
      <c r="K39" s="92"/>
    </row>
    <row r="40" spans="2:19" x14ac:dyDescent="0.2">
      <c r="B40" s="71" t="s">
        <v>81</v>
      </c>
      <c r="G40" s="88"/>
      <c r="H40" s="88"/>
      <c r="I40" s="88"/>
      <c r="J40" s="88"/>
      <c r="K40" s="125">
        <f>'P&amp;L'!H16*Q28</f>
        <v>121837.3081633689</v>
      </c>
    </row>
    <row r="41" spans="2:19" x14ac:dyDescent="0.2">
      <c r="B41" s="81" t="s">
        <v>82</v>
      </c>
      <c r="G41" s="88"/>
      <c r="H41" s="88"/>
      <c r="I41" s="88"/>
      <c r="J41" s="88"/>
      <c r="K41" s="92">
        <f>K40/(1+Q10)^5</f>
        <v>82286.465295585833</v>
      </c>
    </row>
    <row r="42" spans="2:19" x14ac:dyDescent="0.2">
      <c r="G42" s="88"/>
      <c r="H42" s="88"/>
      <c r="I42" s="88"/>
      <c r="J42" s="88"/>
      <c r="K42" s="88"/>
    </row>
    <row r="43" spans="2:19" x14ac:dyDescent="0.2">
      <c r="B43" s="66"/>
      <c r="C43" s="66"/>
      <c r="D43" s="66"/>
      <c r="E43" s="66"/>
      <c r="F43" s="66"/>
      <c r="G43" s="96"/>
      <c r="H43" s="96"/>
      <c r="I43" s="96"/>
      <c r="J43" s="96"/>
      <c r="K43" s="96"/>
    </row>
    <row r="44" spans="2:19" x14ac:dyDescent="0.2">
      <c r="G44" s="88"/>
      <c r="H44" s="88"/>
      <c r="I44" s="88"/>
      <c r="J44" s="88"/>
      <c r="K44" s="88"/>
    </row>
    <row r="45" spans="2:19" x14ac:dyDescent="0.2">
      <c r="B45" s="71" t="s">
        <v>83</v>
      </c>
      <c r="G45" s="88"/>
      <c r="H45" s="88"/>
      <c r="I45" s="88"/>
      <c r="J45" s="88"/>
      <c r="K45" s="92">
        <f>K41+K38</f>
        <v>96646.568267852024</v>
      </c>
    </row>
    <row r="46" spans="2:19" x14ac:dyDescent="0.2">
      <c r="G46" s="88"/>
      <c r="H46" s="88"/>
      <c r="I46" s="88"/>
      <c r="J46" s="88"/>
      <c r="K46" s="88"/>
    </row>
    <row r="47" spans="2:19" x14ac:dyDescent="0.2">
      <c r="B47" s="71" t="s">
        <v>105</v>
      </c>
      <c r="G47" s="88"/>
      <c r="H47" s="88"/>
      <c r="I47" s="88"/>
      <c r="J47" s="88"/>
      <c r="K47" s="92">
        <f>K45+Q20-Q14</f>
        <v>98086.568267852024</v>
      </c>
    </row>
    <row r="48" spans="2:19" x14ac:dyDescent="0.2">
      <c r="B48" s="81" t="s">
        <v>52</v>
      </c>
      <c r="G48" s="88"/>
      <c r="H48" s="88"/>
      <c r="I48" s="88"/>
      <c r="J48" s="88"/>
      <c r="K48" s="126">
        <v>1476</v>
      </c>
    </row>
    <row r="49" spans="2:11" x14ac:dyDescent="0.2">
      <c r="B49" s="71" t="s">
        <v>106</v>
      </c>
      <c r="G49" s="88"/>
      <c r="H49" s="88"/>
      <c r="I49" s="88"/>
      <c r="J49" s="88"/>
      <c r="K49" s="127">
        <f>K47/K48</f>
        <v>66.454314544615187</v>
      </c>
    </row>
    <row r="50" spans="2:11" x14ac:dyDescent="0.2">
      <c r="G50" s="88"/>
      <c r="H50" s="88"/>
      <c r="I50" s="88"/>
      <c r="J50" s="88"/>
      <c r="K50" s="88"/>
    </row>
    <row r="51" spans="2:11" x14ac:dyDescent="0.2">
      <c r="B51" s="71" t="s">
        <v>86</v>
      </c>
      <c r="G51" s="88"/>
      <c r="H51" s="88"/>
      <c r="I51" s="88"/>
      <c r="J51" s="88"/>
      <c r="K51" s="88">
        <v>62.39</v>
      </c>
    </row>
    <row r="52" spans="2:11" x14ac:dyDescent="0.2">
      <c r="B52" s="71" t="s">
        <v>88</v>
      </c>
      <c r="G52" s="88"/>
      <c r="H52" s="88"/>
      <c r="I52" s="88"/>
      <c r="J52" s="88"/>
      <c r="K52" s="124">
        <f>K49/K51-1</f>
        <v>6.5143685600499879E-2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 Build</vt:lpstr>
      <vt:lpstr>P&amp;L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Donovan, Josh</cp:lastModifiedBy>
  <dcterms:created xsi:type="dcterms:W3CDTF">2025-04-06T16:37:07Z</dcterms:created>
  <dcterms:modified xsi:type="dcterms:W3CDTF">2025-05-28T16:45:20Z</dcterms:modified>
</cp:coreProperties>
</file>