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manrakhecha/Documents/"/>
    </mc:Choice>
  </mc:AlternateContent>
  <xr:revisionPtr revIDLastSave="0" documentId="13_ncr:1_{DF737A42-6576-2241-A79B-D6E913865534}" xr6:coauthVersionLast="47" xr6:coauthVersionMax="47" xr10:uidLastSave="{00000000-0000-0000-0000-000000000000}"/>
  <bookViews>
    <workbookView xWindow="0" yWindow="740" windowWidth="30240" windowHeight="18900" xr2:uid="{B0377D1A-F22A-094C-8355-2FA28EB31403}"/>
  </bookViews>
  <sheets>
    <sheet name="Revenue Build" sheetId="1" r:id="rId1"/>
    <sheet name="Cost Build" sheetId="2" r:id="rId2"/>
    <sheet name="Income Statement" sheetId="3" r:id="rId3"/>
    <sheet name="DCF" sheetId="6" r:id="rId4"/>
    <sheet name="Balance Sheet" sheetId="4" r:id="rId5"/>
    <sheet name="CFS" sheetId="5" r:id="rId6"/>
    <sheet name="Comps" sheetId="7" r:id="rId7"/>
  </sheets>
  <externalReferences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6" l="1"/>
  <c r="O14" i="6"/>
  <c r="B23" i="6"/>
  <c r="B22" i="6"/>
  <c r="E22" i="6"/>
  <c r="J32" i="6"/>
  <c r="J33" i="6" s="1"/>
  <c r="J26" i="6"/>
  <c r="E18" i="6"/>
  <c r="E15" i="6"/>
  <c r="E16" i="6"/>
  <c r="E9" i="6"/>
  <c r="E6" i="6"/>
  <c r="E7" i="6" s="1"/>
  <c r="E3" i="6"/>
  <c r="F3" i="6"/>
  <c r="G15" i="6"/>
  <c r="H15" i="6"/>
  <c r="I15" i="6"/>
  <c r="J15" i="6"/>
  <c r="F15" i="6"/>
  <c r="K14" i="6"/>
  <c r="F14" i="6"/>
  <c r="K13" i="6"/>
  <c r="F12" i="6"/>
  <c r="G9" i="6"/>
  <c r="H9" i="6"/>
  <c r="I9" i="6"/>
  <c r="J9" i="6"/>
  <c r="F9" i="6"/>
  <c r="G6" i="6"/>
  <c r="H6" i="6"/>
  <c r="I6" i="6"/>
  <c r="J6" i="6"/>
  <c r="F6" i="6"/>
  <c r="G3" i="6"/>
  <c r="H3" i="6"/>
  <c r="I3" i="6"/>
  <c r="I7" i="6" s="1"/>
  <c r="J3" i="6"/>
  <c r="J4" i="6" s="1"/>
  <c r="I4" i="6"/>
  <c r="D35" i="6"/>
  <c r="O30" i="6"/>
  <c r="I32" i="6"/>
  <c r="D32" i="6"/>
  <c r="F26" i="6"/>
  <c r="G26" i="6" s="1"/>
  <c r="H26" i="6" s="1"/>
  <c r="I26" i="6" s="1"/>
  <c r="D24" i="6"/>
  <c r="C24" i="6"/>
  <c r="D22" i="6"/>
  <c r="Q22" i="6" s="1" a="1"/>
  <c r="C22" i="6"/>
  <c r="Z19" i="6"/>
  <c r="K17" i="6"/>
  <c r="O15" i="6"/>
  <c r="O31" i="6" s="1"/>
  <c r="K15" i="6"/>
  <c r="Z14" i="6"/>
  <c r="I12" i="6"/>
  <c r="H12" i="6"/>
  <c r="Z10" i="6"/>
  <c r="J10" i="6"/>
  <c r="I10" i="6"/>
  <c r="H10" i="6"/>
  <c r="G12" i="6"/>
  <c r="F10" i="6"/>
  <c r="J7" i="6"/>
  <c r="H7" i="6"/>
  <c r="Q6" i="6" a="1"/>
  <c r="Q6" i="6" s="1"/>
  <c r="K6" i="6"/>
  <c r="G7" i="6"/>
  <c r="F7" i="6"/>
  <c r="Z5" i="6"/>
  <c r="H4" i="6"/>
  <c r="G4" i="6"/>
  <c r="K3" i="6"/>
  <c r="G2" i="6"/>
  <c r="H2" i="6" s="1"/>
  <c r="I2" i="6" s="1"/>
  <c r="J2" i="6" s="1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F47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F46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F43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F38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F35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F34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F30" i="3"/>
  <c r="AD5" i="3"/>
  <c r="AD8" i="3"/>
  <c r="AD11" i="3"/>
  <c r="AD15" i="3"/>
  <c r="AD20" i="3"/>
  <c r="AD22" i="3" s="1"/>
  <c r="AD24" i="3"/>
  <c r="AD27" i="3"/>
  <c r="AC27" i="3"/>
  <c r="AE27" i="3"/>
  <c r="AF27" i="3"/>
  <c r="AG27" i="3"/>
  <c r="AH27" i="3"/>
  <c r="AI27" i="3"/>
  <c r="AB27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F29" i="3"/>
  <c r="AI26" i="3"/>
  <c r="AH26" i="3"/>
  <c r="AG26" i="3"/>
  <c r="AF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AC25" i="3"/>
  <c r="AD25" i="3"/>
  <c r="AD26" i="3" s="1"/>
  <c r="AE25" i="3"/>
  <c r="AF25" i="3"/>
  <c r="AG25" i="3"/>
  <c r="AH25" i="3"/>
  <c r="AI25" i="3"/>
  <c r="AB25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F24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E22" i="3"/>
  <c r="AF22" i="3"/>
  <c r="AG22" i="3"/>
  <c r="AH22" i="3"/>
  <c r="AI22" i="3"/>
  <c r="F2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F13" i="3"/>
  <c r="AI21" i="3"/>
  <c r="AH21" i="3"/>
  <c r="AG21" i="3"/>
  <c r="AF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AA17" i="3"/>
  <c r="AB17" i="3"/>
  <c r="AC17" i="3"/>
  <c r="AD17" i="3"/>
  <c r="AE17" i="3"/>
  <c r="AF17" i="3"/>
  <c r="AG17" i="3"/>
  <c r="AH17" i="3"/>
  <c r="AI17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K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AF6" i="3"/>
  <c r="AG6" i="3"/>
  <c r="AH6" i="3"/>
  <c r="AI6" i="3"/>
  <c r="AE6" i="3"/>
  <c r="AD9" i="3"/>
  <c r="AE9" i="3"/>
  <c r="AF9" i="3"/>
  <c r="AG9" i="3"/>
  <c r="AH9" i="3"/>
  <c r="AI9" i="3"/>
  <c r="AD6" i="3"/>
  <c r="AA9" i="3"/>
  <c r="AB9" i="3"/>
  <c r="AC9" i="3"/>
  <c r="AA6" i="3"/>
  <c r="AB6" i="3"/>
  <c r="AC6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E20" i="3"/>
  <c r="AF20" i="3"/>
  <c r="AG20" i="3"/>
  <c r="AH20" i="3"/>
  <c r="AI20" i="3"/>
  <c r="F20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F18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F17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E15" i="3"/>
  <c r="AF15" i="3"/>
  <c r="AG15" i="3"/>
  <c r="AH15" i="3"/>
  <c r="AI15" i="3"/>
  <c r="F15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E11" i="3"/>
  <c r="AF11" i="3"/>
  <c r="AG11" i="3"/>
  <c r="AH11" i="3"/>
  <c r="AI11" i="3"/>
  <c r="F11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F9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E8" i="3"/>
  <c r="AF8" i="3"/>
  <c r="AG8" i="3"/>
  <c r="AH8" i="3"/>
  <c r="AI8" i="3"/>
  <c r="F8" i="3"/>
  <c r="O6" i="3"/>
  <c r="N6" i="3"/>
  <c r="M6" i="3"/>
  <c r="L6" i="3"/>
  <c r="K6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E5" i="3"/>
  <c r="AF5" i="3"/>
  <c r="AG5" i="3"/>
  <c r="AH5" i="3"/>
  <c r="AI5" i="3"/>
  <c r="F5" i="3"/>
  <c r="AH9" i="2"/>
  <c r="AG9" i="2"/>
  <c r="AB9" i="2"/>
  <c r="AC9" i="2"/>
  <c r="AD9" i="2"/>
  <c r="AE9" i="2"/>
  <c r="AF9" i="2"/>
  <c r="AA9" i="2"/>
  <c r="AG7" i="2"/>
  <c r="AH7" i="2"/>
  <c r="AF7" i="2"/>
  <c r="AB7" i="2"/>
  <c r="AC7" i="2"/>
  <c r="AD7" i="2"/>
  <c r="AE7" i="2"/>
  <c r="AA7" i="2"/>
  <c r="AA5" i="2"/>
  <c r="AB5" i="2"/>
  <c r="AC5" i="2"/>
  <c r="AD5" i="2"/>
  <c r="AE5" i="2"/>
  <c r="AF5" i="2"/>
  <c r="AG5" i="2"/>
  <c r="AH5" i="2"/>
  <c r="AF27" i="1"/>
  <c r="AF31" i="1" s="1"/>
  <c r="AE27" i="1"/>
  <c r="AE31" i="1" s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E31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D31" i="1" s="1"/>
  <c r="AG27" i="1"/>
  <c r="AG31" i="1" s="1"/>
  <c r="AH27" i="1"/>
  <c r="AH31" i="1" s="1"/>
  <c r="E27" i="1"/>
  <c r="AB21" i="1"/>
  <c r="AA21" i="1"/>
  <c r="AC21" i="1"/>
  <c r="AH21" i="1"/>
  <c r="AG21" i="1"/>
  <c r="AF21" i="1"/>
  <c r="AE21" i="1"/>
  <c r="AD21" i="1"/>
  <c r="AB19" i="1"/>
  <c r="AA19" i="1"/>
  <c r="AD19" i="1"/>
  <c r="AC19" i="1"/>
  <c r="E32" i="6" l="1"/>
  <c r="F32" i="6"/>
  <c r="G32" i="6"/>
  <c r="H32" i="6"/>
  <c r="H33" i="6" s="1"/>
  <c r="I16" i="6" s="1"/>
  <c r="I33" i="6"/>
  <c r="J16" i="6" s="1"/>
  <c r="K16" i="6" s="1"/>
  <c r="E10" i="6"/>
  <c r="E12" i="6"/>
  <c r="E14" i="6" s="1"/>
  <c r="R22" i="6"/>
  <c r="S22" i="6"/>
  <c r="Q22" i="6"/>
  <c r="U6" i="6"/>
  <c r="Q13" i="6"/>
  <c r="U13" i="6" s="1"/>
  <c r="E33" i="6"/>
  <c r="F16" i="6" s="1"/>
  <c r="F18" i="6" s="1"/>
  <c r="F22" i="6" s="1"/>
  <c r="O7" i="6" s="1"/>
  <c r="F33" i="6"/>
  <c r="G16" i="6" s="1"/>
  <c r="K12" i="6"/>
  <c r="G33" i="6"/>
  <c r="H16" i="6" s="1"/>
  <c r="Z15" i="6"/>
  <c r="Z20" i="6" s="1"/>
  <c r="G14" i="6"/>
  <c r="R6" i="6"/>
  <c r="K9" i="6"/>
  <c r="G10" i="6"/>
  <c r="J12" i="6"/>
  <c r="J14" i="6" s="1"/>
  <c r="K7" i="6"/>
  <c r="H14" i="6"/>
  <c r="S6" i="6"/>
  <c r="O16" i="6"/>
  <c r="O32" i="6" s="1"/>
  <c r="I14" i="6"/>
  <c r="I18" i="6" s="1"/>
  <c r="AD21" i="3"/>
  <c r="AE21" i="3"/>
  <c r="AE26" i="3"/>
  <c r="P6" i="3"/>
  <c r="Q6" i="3"/>
  <c r="Z22" i="6" l="1"/>
  <c r="H18" i="6"/>
  <c r="J18" i="6"/>
  <c r="K10" i="6"/>
  <c r="K18" i="6"/>
  <c r="G18" i="6"/>
  <c r="W22" i="6"/>
  <c r="S29" i="6"/>
  <c r="W29" i="6" s="1"/>
  <c r="V6" i="6"/>
  <c r="R13" i="6"/>
  <c r="V13" i="6" s="1"/>
  <c r="W6" i="6"/>
  <c r="S13" i="6"/>
  <c r="W13" i="6" s="1"/>
  <c r="Q29" i="6"/>
  <c r="U29" i="6" s="1"/>
  <c r="U22" i="6"/>
  <c r="R29" i="6"/>
  <c r="V29" i="6" s="1"/>
  <c r="V22" i="6"/>
  <c r="S6" i="3"/>
  <c r="X6" i="3"/>
  <c r="V6" i="3"/>
  <c r="R6" i="3"/>
  <c r="W6" i="3"/>
  <c r="U6" i="3"/>
  <c r="Y6" i="3"/>
  <c r="Z6" i="3"/>
  <c r="T6" i="3"/>
  <c r="M8" i="6" l="1"/>
  <c r="M15" i="6" s="1"/>
  <c r="M24" i="6" s="1"/>
  <c r="Q24" i="6" s="1"/>
  <c r="B24" i="6"/>
  <c r="E24" i="6" s="1"/>
  <c r="E23" i="6"/>
  <c r="G23" i="6"/>
  <c r="S8" i="6"/>
  <c r="Q7" i="6"/>
  <c r="Q8" i="6"/>
  <c r="R8" i="6"/>
  <c r="M31" i="6"/>
  <c r="R24" i="6"/>
  <c r="S24" i="6"/>
  <c r="M9" i="6"/>
  <c r="M16" i="6" s="1"/>
  <c r="M25" i="6" s="1"/>
  <c r="M7" i="6"/>
  <c r="M14" i="6" s="1"/>
  <c r="M23" i="6" s="1"/>
  <c r="J23" i="6"/>
  <c r="H23" i="6"/>
  <c r="F23" i="6" l="1"/>
  <c r="I23" i="6"/>
  <c r="O8" i="6"/>
  <c r="W8" i="6" s="1"/>
  <c r="S15" i="6" s="1"/>
  <c r="W15" i="6" s="1"/>
  <c r="M32" i="6"/>
  <c r="Q25" i="6"/>
  <c r="R25" i="6"/>
  <c r="S25" i="6"/>
  <c r="J22" i="6"/>
  <c r="H22" i="6"/>
  <c r="I22" i="6"/>
  <c r="F24" i="6"/>
  <c r="J24" i="6"/>
  <c r="H24" i="6"/>
  <c r="I24" i="6"/>
  <c r="S7" i="6"/>
  <c r="R9" i="6"/>
  <c r="G24" i="6"/>
  <c r="S9" i="6"/>
  <c r="M30" i="6"/>
  <c r="S23" i="6"/>
  <c r="R23" i="6"/>
  <c r="Q23" i="6"/>
  <c r="Q9" i="6"/>
  <c r="R7" i="6"/>
  <c r="G22" i="6"/>
  <c r="V8" i="6" l="1"/>
  <c r="R15" i="6" s="1"/>
  <c r="V15" i="6" s="1"/>
  <c r="D36" i="6" s="1"/>
  <c r="E36" i="6" s="1"/>
  <c r="O24" i="6"/>
  <c r="W24" i="6" s="1"/>
  <c r="S31" i="6" s="1"/>
  <c r="W31" i="6" s="1"/>
  <c r="U8" i="6"/>
  <c r="Q15" i="6" s="1"/>
  <c r="U15" i="6" s="1"/>
  <c r="O9" i="6"/>
  <c r="V24" i="6"/>
  <c r="R31" i="6" s="1"/>
  <c r="V31" i="6" s="1"/>
  <c r="D37" i="6" s="1"/>
  <c r="E37" i="6" s="1"/>
  <c r="U24" i="6" l="1"/>
  <c r="Q31" i="6" s="1"/>
  <c r="U31" i="6" s="1"/>
  <c r="U7" i="6"/>
  <c r="Q14" i="6" s="1"/>
  <c r="U14" i="6" s="1"/>
  <c r="O23" i="6"/>
  <c r="W7" i="6"/>
  <c r="S14" i="6" s="1"/>
  <c r="W14" i="6" s="1"/>
  <c r="V7" i="6"/>
  <c r="R14" i="6" s="1"/>
  <c r="V14" i="6" s="1"/>
  <c r="O25" i="6"/>
  <c r="W9" i="6"/>
  <c r="S16" i="6" s="1"/>
  <c r="W16" i="6" s="1"/>
  <c r="V9" i="6"/>
  <c r="R16" i="6" s="1"/>
  <c r="V16" i="6" s="1"/>
  <c r="U9" i="6"/>
  <c r="Q16" i="6" s="1"/>
  <c r="U16" i="6" s="1"/>
  <c r="D38" i="6"/>
  <c r="E38" i="6" s="1"/>
  <c r="W25" i="6" l="1"/>
  <c r="S32" i="6" s="1"/>
  <c r="W32" i="6" s="1"/>
  <c r="V25" i="6"/>
  <c r="R32" i="6" s="1"/>
  <c r="V32" i="6" s="1"/>
  <c r="U25" i="6"/>
  <c r="Q32" i="6" s="1"/>
  <c r="U32" i="6" s="1"/>
  <c r="U23" i="6"/>
  <c r="Q30" i="6" s="1"/>
  <c r="U30" i="6" s="1"/>
  <c r="W23" i="6"/>
  <c r="S30" i="6" s="1"/>
  <c r="W30" i="6" s="1"/>
  <c r="V23" i="6"/>
  <c r="R30" i="6" s="1"/>
  <c r="V30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pc</author>
  </authors>
  <commentList>
    <comment ref="Z9" authorId="0" shapeId="0" xr:uid="{04349690-251A-8D41-A78E-C4611089D0DC}">
      <text>
        <r>
          <rPr>
            <sz val="10"/>
            <color rgb="FF000000"/>
            <rFont val="Aptos Narrow"/>
            <family val="2"/>
            <scheme val="minor"/>
          </rPr>
          <t>======
ID#AAABeGgvYeo
pc    (2025-02-14 23:24:40)
factset</t>
        </r>
      </text>
    </comment>
    <comment ref="C23" authorId="1" shapeId="0" xr:uid="{276E0260-D453-2341-9A96-A96FBC81DE59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gdp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Tegus (JWL)</author>
  </authors>
  <commentList>
    <comment ref="B17" authorId="0" shapeId="0" xr:uid="{F686901F-6A9A-304E-9187-E87B199293AD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C17" authorId="0" shapeId="0" xr:uid="{7BEAA49F-FA84-604D-AD21-EEAFB5EB7489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D17" authorId="0" shapeId="0" xr:uid="{4243DE19-4583-D74F-B155-B3D6083EB060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E17" authorId="0" shapeId="0" xr:uid="{CFACE341-559C-654A-A3F4-016A146F85FE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G17" authorId="0" shapeId="0" xr:uid="{222A46B8-84C5-644A-88C2-5C36EE036270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H17" authorId="0" shapeId="0" xr:uid="{E32E9F40-A3BC-0C43-8B47-1549EDA4218D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I17" authorId="0" shapeId="0" xr:uid="{80BD92DB-B30D-7A4C-8B15-C3B9DAEC4882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J17" authorId="0" shapeId="0" xr:uid="{EB493C7C-B7FF-2048-A0FE-F4E90DA0FD65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L17" authorId="0" shapeId="0" xr:uid="{04E2C684-DEB1-DC4A-B77B-9A8F33BF4F2E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M17" authorId="0" shapeId="0" xr:uid="{C4321ECB-5B8C-E647-BBD9-A34099D637B1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N17" authorId="0" shapeId="0" xr:uid="{312C6BA4-4267-E847-8622-B86734FDA009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O17" authorId="0" shapeId="0" xr:uid="{D9B46C0B-640E-8840-AA92-832D39DDBBB3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  <comment ref="Q17" authorId="0" shapeId="0" xr:uid="{EDDDC45F-9650-7C42-9007-94EC5629EF69}">
      <text>
        <r>
          <rPr>
            <b/>
            <sz val="9"/>
            <rFont val="Tahoma"/>
            <family val="2"/>
          </rPr>
          <t>Tegus (CL):</t>
        </r>
        <r>
          <rPr>
            <sz val="9"/>
            <rFont val="Tahoma"/>
            <family val="2"/>
          </rPr>
          <t xml:space="preserve">
Estimate</t>
        </r>
      </text>
    </comment>
  </commentList>
</comments>
</file>

<file path=xl/sharedStrings.xml><?xml version="1.0" encoding="utf-8"?>
<sst xmlns="http://schemas.openxmlformats.org/spreadsheetml/2006/main" count="419" uniqueCount="273">
  <si>
    <t>End 9/30/2022</t>
  </si>
  <si>
    <t>End 9/30/2023</t>
  </si>
  <si>
    <t>End 9/30/2024</t>
  </si>
  <si>
    <t>Historicals</t>
  </si>
  <si>
    <t>Paragon Projections</t>
  </si>
  <si>
    <t>1Q22</t>
  </si>
  <si>
    <t>2Q22</t>
  </si>
  <si>
    <t>3Q22</t>
  </si>
  <si>
    <t>4Q22</t>
  </si>
  <si>
    <t>FY22</t>
  </si>
  <si>
    <t>1Q23</t>
  </si>
  <si>
    <t>2Q23</t>
  </si>
  <si>
    <t>3Q23</t>
  </si>
  <si>
    <t>4Q23</t>
  </si>
  <si>
    <t>FY23</t>
  </si>
  <si>
    <t>1Q24</t>
  </si>
  <si>
    <t>2Q24</t>
  </si>
  <si>
    <t>3Q24</t>
  </si>
  <si>
    <t>4Q24</t>
  </si>
  <si>
    <t>FY24</t>
  </si>
  <si>
    <t>1Q25</t>
  </si>
  <si>
    <t>2Q25E</t>
  </si>
  <si>
    <t>3Q25E</t>
  </si>
  <si>
    <t>4Q25E</t>
  </si>
  <si>
    <t>FY25E</t>
  </si>
  <si>
    <t>FY26E</t>
  </si>
  <si>
    <t>FY27E</t>
  </si>
  <si>
    <t>FY28E</t>
  </si>
  <si>
    <t>FY29E</t>
  </si>
  <si>
    <t>% y/y growth</t>
  </si>
  <si>
    <t>End 9/30/2021</t>
  </si>
  <si>
    <t>1Q21</t>
  </si>
  <si>
    <t>2Q21</t>
  </si>
  <si>
    <t>3Q21</t>
  </si>
  <si>
    <t>4Q21</t>
  </si>
  <si>
    <t>FY21</t>
  </si>
  <si>
    <t>2Q25</t>
  </si>
  <si>
    <t>FY30E</t>
  </si>
  <si>
    <t>Total Awiqli Revenue, mm</t>
  </si>
  <si>
    <t>Total Premix Insulin Revenue, mm</t>
  </si>
  <si>
    <t>Total Fast-Acting Insulin Revenue, mm</t>
  </si>
  <si>
    <t>Total Human Insulin Revenue, mm</t>
  </si>
  <si>
    <t>Total Victoza Revenue, mm</t>
  </si>
  <si>
    <t>Total Ozempic Revenue, mm</t>
  </si>
  <si>
    <t>Total Rybelsus Revenue, mm</t>
  </si>
  <si>
    <t>Total Other Diabetes Revenue, mm</t>
  </si>
  <si>
    <t xml:space="preserve"> Total Diabetes and Obesity Revenue, mm </t>
  </si>
  <si>
    <t xml:space="preserve"> Total Biopharmaceuticals Revenue, mm </t>
  </si>
  <si>
    <t>Total Revenue</t>
  </si>
  <si>
    <t>Total Revenue, mm</t>
  </si>
  <si>
    <t>Total Obesity Revenue, mm</t>
  </si>
  <si>
    <t>Total Tresiba Revenue, mm</t>
  </si>
  <si>
    <t>Total Xultophy Revenue, mm</t>
  </si>
  <si>
    <t>Total Levemir Revenue, mm</t>
  </si>
  <si>
    <t>Assumptions</t>
  </si>
  <si>
    <t>COGS held constant at 15% for duration of projection period, because 2024 and 2023 COGS for entire company was ~15%.</t>
  </si>
  <si>
    <t>SG&amp;A is 30% of revenue for 2025-27, 25% for 28-31, and 20% for 32-35. Novo Nordisk 2024 SG&amp;A was ~23%, so assumed it would start off higher and then decrease as distribution and scale increases.</t>
  </si>
  <si>
    <t>COGS</t>
  </si>
  <si>
    <t>SG&amp;A</t>
  </si>
  <si>
    <t>R&amp;D</t>
  </si>
  <si>
    <t>Others</t>
  </si>
  <si>
    <t>R&amp;D is 15% of revenue for 2025-2028 and 12% of revenue for 2029-2035. Novo Nordisk 2024 R&amp;D was ~15%, so assumed it would be higher initially due to more trials and approval spending and then level off to reflect broader company R&amp;D.</t>
  </si>
  <si>
    <t>Income Statement</t>
  </si>
  <si>
    <t>$ in millions</t>
  </si>
  <si>
    <t>Total COGS</t>
  </si>
  <si>
    <t>% revenue</t>
  </si>
  <si>
    <t>Gross Profit</t>
  </si>
  <si>
    <t>GPM %</t>
  </si>
  <si>
    <t>Operating Expenses</t>
  </si>
  <si>
    <t>margin %</t>
  </si>
  <si>
    <t>COGS + Opex</t>
  </si>
  <si>
    <t>Operating Income</t>
  </si>
  <si>
    <t>OPM %</t>
  </si>
  <si>
    <t>Non-Operating Income</t>
  </si>
  <si>
    <t>EBT</t>
  </si>
  <si>
    <t>Preferred Dividends</t>
  </si>
  <si>
    <t>Income to Securities</t>
  </si>
  <si>
    <t>Net Income to Common Shareholders</t>
  </si>
  <si>
    <t>Diluted Shares Outstanding</t>
  </si>
  <si>
    <t>Diluted GAAP EPS</t>
  </si>
  <si>
    <t>EBT to EBITDA bridge</t>
  </si>
  <si>
    <t>Subtract: Net Interest</t>
  </si>
  <si>
    <t>EBIT to EBITDA bridge</t>
  </si>
  <si>
    <t>Plus: D&amp;A</t>
  </si>
  <si>
    <t>EBITDA</t>
  </si>
  <si>
    <t>=</t>
  </si>
  <si>
    <t>Current tax</t>
  </si>
  <si>
    <t>Deferred tax</t>
  </si>
  <si>
    <t>Net Income</t>
  </si>
  <si>
    <t>Tax Rate</t>
  </si>
  <si>
    <t>Plus: Other</t>
  </si>
  <si>
    <t>DCF Valuation</t>
  </si>
  <si>
    <t>Terminal</t>
  </si>
  <si>
    <t>Perpetuity Growth Method</t>
  </si>
  <si>
    <t>WACC Calculation</t>
  </si>
  <si>
    <t>Revenue</t>
  </si>
  <si>
    <t>% Growth</t>
  </si>
  <si>
    <t>PV of</t>
  </si>
  <si>
    <t>PV of Terminal Value at</t>
  </si>
  <si>
    <t>Enterprise Value at</t>
  </si>
  <si>
    <t>Cost of Debt</t>
  </si>
  <si>
    <t>Discount</t>
  </si>
  <si>
    <t>24E - '28E</t>
  </si>
  <si>
    <t>Perpetuity Growth Rate of</t>
  </si>
  <si>
    <t>Cost of Debt (tax)</t>
  </si>
  <si>
    <t>GAAP EBITDA</t>
  </si>
  <si>
    <t>Rate</t>
  </si>
  <si>
    <t>Cash Flows</t>
  </si>
  <si>
    <t>% Margin</t>
  </si>
  <si>
    <t>Risk-free</t>
  </si>
  <si>
    <t>+</t>
  </si>
  <si>
    <t>MRP</t>
  </si>
  <si>
    <t>Beta</t>
  </si>
  <si>
    <t>%Margin</t>
  </si>
  <si>
    <t>Cost of Equity</t>
  </si>
  <si>
    <t>Equity Value at</t>
  </si>
  <si>
    <t>Implied Share Price at</t>
  </si>
  <si>
    <t>Less: Taxes</t>
  </si>
  <si>
    <t>Less: 8/03/2024A</t>
  </si>
  <si>
    <t>Cash/eq</t>
  </si>
  <si>
    <t>Memo: Effective Tax Rate</t>
  </si>
  <si>
    <t>Net Debt</t>
  </si>
  <si>
    <t>LT debt</t>
  </si>
  <si>
    <t>Tax-Effected EBIT</t>
  </si>
  <si>
    <t>Net debt</t>
  </si>
  <si>
    <t>Plus: Depreciation &amp; Amortization</t>
  </si>
  <si>
    <t>% debt</t>
  </si>
  <si>
    <t>Less: Change in NWC</t>
  </si>
  <si>
    <t>Less: Capital Expenditures</t>
  </si>
  <si>
    <t>Sh. Out</t>
  </si>
  <si>
    <t>Unlevered Free Cash Flow</t>
  </si>
  <si>
    <t>Terminal Multiple Method</t>
  </si>
  <si>
    <t>Sh. Price</t>
  </si>
  <si>
    <t>Mkt cap</t>
  </si>
  <si>
    <t>Perp.</t>
  </si>
  <si>
    <t>Exit</t>
  </si>
  <si>
    <t>Discounted Cash Flows</t>
  </si>
  <si>
    <t>% equity</t>
  </si>
  <si>
    <t>Growth</t>
  </si>
  <si>
    <t>Multiple</t>
  </si>
  <si>
    <t>EBITDA Exit Multiple of</t>
  </si>
  <si>
    <t>WACC</t>
  </si>
  <si>
    <t>Net Working Capital</t>
  </si>
  <si>
    <t>2024A</t>
  </si>
  <si>
    <t>Current Assets</t>
  </si>
  <si>
    <t>Current Liabilities</t>
  </si>
  <si>
    <t>Change in Net Working Capital</t>
  </si>
  <si>
    <t>Current</t>
  </si>
  <si>
    <t>Upside</t>
  </si>
  <si>
    <t>Perpetuity Growth</t>
  </si>
  <si>
    <t>Average</t>
  </si>
  <si>
    <t>Diluted Shares Out</t>
  </si>
  <si>
    <t>Balance Sheet</t>
  </si>
  <si>
    <t>Inventories</t>
  </si>
  <si>
    <t>Trade receivables</t>
  </si>
  <si>
    <t>Tax receivables</t>
  </si>
  <si>
    <t>Other receivables and prepayments</t>
  </si>
  <si>
    <t>Marketable securities</t>
  </si>
  <si>
    <t>Derivative financial instruments</t>
  </si>
  <si>
    <t>Cash at bank</t>
  </si>
  <si>
    <t>Total Current Assets</t>
  </si>
  <si>
    <t>Non-Current Assets</t>
  </si>
  <si>
    <t>Intangible assets</t>
  </si>
  <si>
    <t>Property, plant and equipment</t>
  </si>
  <si>
    <t>Investment in associated company</t>
  </si>
  <si>
    <t>Deferred income tax assets</t>
  </si>
  <si>
    <t>Other financial assets</t>
  </si>
  <si>
    <t>Total Non-Current Assets</t>
  </si>
  <si>
    <t>Total Assets</t>
  </si>
  <si>
    <t>Short-term bank loans and overdraft</t>
  </si>
  <si>
    <t>Current portion of borrowing</t>
  </si>
  <si>
    <t>Trade payables</t>
  </si>
  <si>
    <t>Tax payables</t>
  </si>
  <si>
    <t>Other liabilities</t>
  </si>
  <si>
    <t>Provisions</t>
  </si>
  <si>
    <t>Total Current Liabilities</t>
  </si>
  <si>
    <t>Non-Current Liabilities</t>
  </si>
  <si>
    <t>Loans</t>
  </si>
  <si>
    <t>Deferred income tax liabilities</t>
  </si>
  <si>
    <t>Retirement benefit obligations</t>
  </si>
  <si>
    <t>Other non-current liabilities</t>
  </si>
  <si>
    <t>Total Non-Current liabilities</t>
  </si>
  <si>
    <t>Total Liabilities</t>
  </si>
  <si>
    <t>Shareholders' Equity</t>
  </si>
  <si>
    <t>Share capital</t>
  </si>
  <si>
    <t>Treasury shares</t>
  </si>
  <si>
    <t>Retained earnings</t>
  </si>
  <si>
    <t>Other reserves</t>
  </si>
  <si>
    <t>Total SE</t>
  </si>
  <si>
    <t>NCI</t>
  </si>
  <si>
    <t>Total Liabilities &amp; SE</t>
  </si>
  <si>
    <t>Q1-2021</t>
  </si>
  <si>
    <t>Q2-2021</t>
  </si>
  <si>
    <t>Q3-2021</t>
  </si>
  <si>
    <t>Q4-2021</t>
  </si>
  <si>
    <t>FY2021</t>
  </si>
  <si>
    <t>Q1-2022</t>
  </si>
  <si>
    <t>Q2-2022</t>
  </si>
  <si>
    <t>Q3-2022</t>
  </si>
  <si>
    <t>Q4-2022</t>
  </si>
  <si>
    <t>FY2022</t>
  </si>
  <si>
    <t>Q1-2023</t>
  </si>
  <si>
    <t>Q2-2023</t>
  </si>
  <si>
    <t>Q3-2023</t>
  </si>
  <si>
    <t>Q4-2023</t>
  </si>
  <si>
    <t>FY2023</t>
  </si>
  <si>
    <t>Q1-2024</t>
  </si>
  <si>
    <t>Q2-2024</t>
  </si>
  <si>
    <t>Q3-2024</t>
  </si>
  <si>
    <t>Q4-2024</t>
  </si>
  <si>
    <t>FY2024</t>
  </si>
  <si>
    <t>Q1-2025</t>
  </si>
  <si>
    <t>Q2-2025</t>
  </si>
  <si>
    <t>Q3-2025</t>
  </si>
  <si>
    <t>Q4-2025</t>
  </si>
  <si>
    <t>FY2025</t>
  </si>
  <si>
    <t>FY2026</t>
  </si>
  <si>
    <t>FY2027</t>
  </si>
  <si>
    <t>FY2028</t>
  </si>
  <si>
    <t>FY2029</t>
  </si>
  <si>
    <t>FY2030</t>
  </si>
  <si>
    <t>Cash Flow Statement</t>
  </si>
  <si>
    <t>Short-term bank loans and overdrafts</t>
  </si>
  <si>
    <t>Cash and cash equivalents at the end of the year</t>
  </si>
  <si>
    <t>CFO</t>
  </si>
  <si>
    <t>Net profit (loss)</t>
  </si>
  <si>
    <t>Income taxes in Income statement</t>
  </si>
  <si>
    <t>Depreciation, amortization and impairment losses</t>
  </si>
  <si>
    <t>Non-recurring income</t>
  </si>
  <si>
    <t>Interest income and interest expenses, net</t>
  </si>
  <si>
    <t>Capital gain (loss) on investments, net</t>
  </si>
  <si>
    <t>Result of associated companies</t>
  </si>
  <si>
    <t>Income from the divestment of Group companies</t>
  </si>
  <si>
    <t>Other non-current receivables and prepayments</t>
  </si>
  <si>
    <t>Exchange rate effects on provisions and retirement benefit obligations</t>
  </si>
  <si>
    <t>Adjustment for remeasurements of retirement benefit obligations</t>
  </si>
  <si>
    <t>Adjustments of provisions and retirement benefit obligations related to acquisition of businesses</t>
  </si>
  <si>
    <t>Unrealized gain/(loss) on FV hedge through profit or loss</t>
  </si>
  <si>
    <t>Share-based payment costs</t>
  </si>
  <si>
    <t>Change in provisions and retirement benefit obligations</t>
  </si>
  <si>
    <t>Other</t>
  </si>
  <si>
    <t>Other non-cash items</t>
  </si>
  <si>
    <t>Interest received</t>
  </si>
  <si>
    <t>Interest paid</t>
  </si>
  <si>
    <t>Income taxes paid</t>
  </si>
  <si>
    <t>Deferred income tax</t>
  </si>
  <si>
    <t>CFO before WC</t>
  </si>
  <si>
    <t>Change in working capital</t>
  </si>
  <si>
    <t>Net CFO</t>
  </si>
  <si>
    <t>CFI</t>
  </si>
  <si>
    <t>Proceeds from the partial divestment of NNIT A/S</t>
  </si>
  <si>
    <t>Proceeds from the divestment of ZymoGenetics, Inc.</t>
  </si>
  <si>
    <t>Acquisition of subsidiaries and business units</t>
  </si>
  <si>
    <t>Purchase of intangible assets</t>
  </si>
  <si>
    <t>Proceeds from sale of property, plant and equipment</t>
  </si>
  <si>
    <t>Purchase of property, plant and equipment</t>
  </si>
  <si>
    <t>Proceeds from sale of other financial assets</t>
  </si>
  <si>
    <t>Purchase of other financial assets</t>
  </si>
  <si>
    <t>Sale of marketable securities</t>
  </si>
  <si>
    <t>Purchase of marketable securities</t>
  </si>
  <si>
    <t>Dividend received from associated company</t>
  </si>
  <si>
    <t>Net CFI</t>
  </si>
  <si>
    <t>CFF</t>
  </si>
  <si>
    <t>Issuance (buyback) of shares</t>
  </si>
  <si>
    <t>Issuance (repayment) of debt</t>
  </si>
  <si>
    <t>Repayment of lease liabilities</t>
  </si>
  <si>
    <t>Dividends paid</t>
  </si>
  <si>
    <t>Withheld dividend tax</t>
  </si>
  <si>
    <t>Net CFF</t>
  </si>
  <si>
    <t>FX</t>
  </si>
  <si>
    <t>Net Change in Cash Balance</t>
  </si>
  <si>
    <t>Beginning Cash Balance</t>
  </si>
  <si>
    <t>Ending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</si>
</sst>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&quot;bps&quot;"/>
    <numFmt numFmtId="167" formatCode="_(* #,##0.0_);_(* \(#,##0.0\);_(* &quot;-&quot;??_);_(@_)"/>
    <numFmt numFmtId="173" formatCode="&quot;$&quot;#,##0_);\(&quot;$&quot;#,##0\)"/>
    <numFmt numFmtId="174" formatCode="0.0"/>
    <numFmt numFmtId="175" formatCode="_(&quot;$&quot;* #,##0.00_);_(&quot;$&quot;* \(#,##0.00\);_(&quot;$&quot;* &quot;-&quot;??_);_(@_)"/>
    <numFmt numFmtId="176" formatCode="#&quot;E&quot;"/>
    <numFmt numFmtId="177" formatCode="&quot;$&quot;#,##0.00_);\(&quot;$&quot;#,##0.00\)"/>
    <numFmt numFmtId="178" formatCode="0.0&quot;x&quot;"/>
  </numFmts>
  <fonts count="3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EB Garamond"/>
    </font>
    <font>
      <b/>
      <sz val="12"/>
      <color theme="1"/>
      <name val="Aptos Narrow"/>
      <scheme val="minor"/>
    </font>
    <font>
      <sz val="11"/>
      <color rgb="FF0000FC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b/>
      <sz val="10"/>
      <color theme="1"/>
      <name val="Arial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b/>
      <sz val="16"/>
      <color theme="9"/>
      <name val="Calibri"/>
      <family val="2"/>
    </font>
    <font>
      <b/>
      <sz val="12"/>
      <color theme="1"/>
      <name val="Calibri"/>
      <family val="2"/>
    </font>
    <font>
      <b/>
      <sz val="11"/>
      <color theme="4"/>
      <name val="Calibri"/>
      <family val="2"/>
    </font>
    <font>
      <i/>
      <sz val="11"/>
      <color rgb="FF7F7F7F"/>
      <name val="Calibri"/>
      <family val="2"/>
    </font>
    <font>
      <b/>
      <sz val="11"/>
      <color rgb="FF00B050"/>
      <name val="Calibri"/>
      <family val="2"/>
    </font>
    <font>
      <i/>
      <sz val="11"/>
      <color rgb="FF00B050"/>
      <name val="Calibri"/>
      <family val="2"/>
    </font>
    <font>
      <i/>
      <u/>
      <sz val="11"/>
      <color theme="1"/>
      <name val="Calibri"/>
      <family val="2"/>
    </font>
    <font>
      <b/>
      <sz val="11"/>
      <color rgb="FF0000FF"/>
      <name val="Calibri"/>
      <family val="2"/>
    </font>
    <font>
      <b/>
      <sz val="11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2F1DA"/>
        <bgColor rgb="FFD2F1DA"/>
      </patternFill>
    </fill>
    <fill>
      <patternFill patternType="solid">
        <fgColor rgb="FFFEF1CC"/>
        <bgColor rgb="FFFEF1CC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left"/>
    </xf>
    <xf numFmtId="3" fontId="4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9" fontId="4" fillId="0" borderId="0" xfId="2" applyFont="1" applyBorder="1" applyAlignment="1">
      <alignment horizontal="right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4" fontId="14" fillId="4" borderId="0" xfId="0" applyNumberFormat="1" applyFont="1" applyFill="1" applyAlignment="1">
      <alignment horizontal="left" indent="2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164" fontId="14" fillId="4" borderId="0" xfId="0" applyNumberFormat="1" applyFont="1" applyFill="1" applyBorder="1" applyAlignment="1">
      <alignment horizontal="left" indent="2"/>
    </xf>
    <xf numFmtId="0" fontId="4" fillId="0" borderId="0" xfId="0" applyFont="1" applyBorder="1" applyAlignment="1">
      <alignment horizontal="left"/>
    </xf>
    <xf numFmtId="0" fontId="0" fillId="0" borderId="0" xfId="0" applyBorder="1"/>
    <xf numFmtId="3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14" fillId="4" borderId="0" xfId="0" applyNumberFormat="1" applyFont="1" applyFill="1" applyBorder="1" applyAlignment="1">
      <alignment horizontal="left" indent="1"/>
    </xf>
    <xf numFmtId="0" fontId="9" fillId="0" borderId="0" xfId="0" applyFont="1" applyBorder="1" applyAlignment="1">
      <alignment horizontal="left"/>
    </xf>
    <xf numFmtId="0" fontId="10" fillId="0" borderId="0" xfId="0" applyFont="1" applyBorder="1"/>
    <xf numFmtId="165" fontId="9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0" fontId="5" fillId="0" borderId="0" xfId="0" applyFont="1" applyBorder="1"/>
    <xf numFmtId="165" fontId="4" fillId="0" borderId="0" xfId="0" applyNumberFormat="1" applyFont="1" applyBorder="1" applyAlignment="1">
      <alignment horizontal="right"/>
    </xf>
    <xf numFmtId="166" fontId="4" fillId="0" borderId="0" xfId="2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0" fontId="8" fillId="0" borderId="8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6" fillId="0" borderId="0" xfId="0" applyFont="1"/>
    <xf numFmtId="0" fontId="17" fillId="0" borderId="0" xfId="0" applyFont="1" applyBorder="1" applyAlignment="1">
      <alignment horizontal="left"/>
    </xf>
    <xf numFmtId="0" fontId="16" fillId="0" borderId="0" xfId="0" applyFont="1" applyBorder="1"/>
    <xf numFmtId="164" fontId="14" fillId="5" borderId="7" xfId="0" applyNumberFormat="1" applyFont="1" applyFill="1" applyBorder="1" applyAlignment="1">
      <alignment horizontal="left"/>
    </xf>
    <xf numFmtId="0" fontId="19" fillId="0" borderId="0" xfId="0" applyFont="1" applyBorder="1"/>
    <xf numFmtId="3" fontId="20" fillId="0" borderId="0" xfId="0" applyNumberFormat="1" applyFont="1"/>
    <xf numFmtId="0" fontId="20" fillId="0" borderId="0" xfId="0" applyFont="1"/>
    <xf numFmtId="164" fontId="20" fillId="0" borderId="0" xfId="1" applyNumberFormat="1" applyFont="1"/>
    <xf numFmtId="164" fontId="4" fillId="0" borderId="0" xfId="1" applyNumberFormat="1" applyFont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8" fillId="0" borderId="0" xfId="1" applyNumberFormat="1" applyFont="1" applyBorder="1" applyAlignment="1">
      <alignment horizontal="right"/>
    </xf>
    <xf numFmtId="164" fontId="8" fillId="0" borderId="0" xfId="1" applyNumberFormat="1" applyFont="1" applyBorder="1" applyAlignment="1">
      <alignment horizontal="center"/>
    </xf>
    <xf numFmtId="164" fontId="21" fillId="0" borderId="0" xfId="1" applyNumberFormat="1" applyFont="1"/>
    <xf numFmtId="43" fontId="0" fillId="0" borderId="0" xfId="1" applyFont="1" applyBorder="1"/>
    <xf numFmtId="164" fontId="0" fillId="0" borderId="0" xfId="1" applyNumberFormat="1" applyFont="1" applyBorder="1"/>
    <xf numFmtId="164" fontId="0" fillId="0" borderId="0" xfId="1" applyNumberFormat="1" applyFont="1"/>
    <xf numFmtId="164" fontId="4" fillId="0" borderId="0" xfId="1" applyNumberFormat="1" applyFont="1" applyFill="1" applyBorder="1" applyAlignment="1">
      <alignment horizontal="right"/>
    </xf>
    <xf numFmtId="0" fontId="26" fillId="0" borderId="0" xfId="0" applyFont="1"/>
    <xf numFmtId="0" fontId="8" fillId="0" borderId="0" xfId="0" applyFont="1"/>
    <xf numFmtId="0" fontId="9" fillId="0" borderId="0" xfId="0" applyFont="1"/>
    <xf numFmtId="0" fontId="19" fillId="0" borderId="0" xfId="0" applyFont="1"/>
    <xf numFmtId="0" fontId="19" fillId="0" borderId="4" xfId="0" applyFont="1" applyBorder="1"/>
    <xf numFmtId="9" fontId="4" fillId="0" borderId="0" xfId="0" applyNumberFormat="1" applyFont="1" applyAlignment="1">
      <alignment horizontal="right"/>
    </xf>
    <xf numFmtId="0" fontId="8" fillId="0" borderId="13" xfId="0" applyFont="1" applyBorder="1" applyAlignment="1">
      <alignment horizontal="left"/>
    </xf>
    <xf numFmtId="0" fontId="19" fillId="0" borderId="13" xfId="0" applyFont="1" applyBorder="1"/>
    <xf numFmtId="164" fontId="22" fillId="0" borderId="0" xfId="1" applyNumberFormat="1" applyFont="1" applyBorder="1"/>
    <xf numFmtId="9" fontId="9" fillId="0" borderId="0" xfId="0" applyNumberFormat="1" applyFont="1" applyBorder="1" applyAlignment="1">
      <alignment horizontal="right"/>
    </xf>
    <xf numFmtId="174" fontId="4" fillId="0" borderId="0" xfId="0" applyNumberFormat="1" applyFont="1" applyBorder="1" applyAlignment="1">
      <alignment horizontal="right"/>
    </xf>
    <xf numFmtId="9" fontId="4" fillId="0" borderId="0" xfId="0" applyNumberFormat="1" applyFont="1" applyBorder="1" applyAlignment="1">
      <alignment horizontal="right"/>
    </xf>
    <xf numFmtId="173" fontId="8" fillId="0" borderId="0" xfId="0" applyNumberFormat="1" applyFont="1" applyBorder="1" applyAlignment="1">
      <alignment horizontal="right"/>
    </xf>
    <xf numFmtId="174" fontId="9" fillId="0" borderId="0" xfId="0" applyNumberFormat="1" applyFont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175" fontId="8" fillId="0" borderId="0" xfId="0" applyNumberFormat="1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5" fillId="0" borderId="3" xfId="0" applyFont="1" applyBorder="1"/>
    <xf numFmtId="0" fontId="19" fillId="0" borderId="5" xfId="0" applyFont="1" applyBorder="1"/>
    <xf numFmtId="9" fontId="0" fillId="0" borderId="0" xfId="2" applyFont="1" applyBorder="1"/>
    <xf numFmtId="0" fontId="0" fillId="0" borderId="6" xfId="0" applyBorder="1"/>
    <xf numFmtId="164" fontId="27" fillId="0" borderId="6" xfId="0" applyNumberFormat="1" applyFont="1" applyBorder="1" applyAlignment="1">
      <alignment horizontal="right"/>
    </xf>
    <xf numFmtId="0" fontId="4" fillId="0" borderId="15" xfId="0" applyFont="1" applyBorder="1" applyAlignment="1">
      <alignment horizontal="left"/>
    </xf>
    <xf numFmtId="164" fontId="0" fillId="0" borderId="0" xfId="0" applyNumberFormat="1" applyBorder="1"/>
    <xf numFmtId="164" fontId="3" fillId="0" borderId="0" xfId="1" applyNumberFormat="1" applyFont="1" applyBorder="1"/>
    <xf numFmtId="164" fontId="3" fillId="0" borderId="0" xfId="0" applyNumberFormat="1" applyFont="1" applyBorder="1"/>
    <xf numFmtId="164" fontId="22" fillId="0" borderId="0" xfId="0" applyNumberFormat="1" applyFont="1" applyBorder="1"/>
    <xf numFmtId="164" fontId="3" fillId="0" borderId="0" xfId="1" applyNumberFormat="1" applyFont="1"/>
    <xf numFmtId="164" fontId="2" fillId="0" borderId="0" xfId="0" applyNumberFormat="1" applyFont="1" applyBorder="1"/>
    <xf numFmtId="164" fontId="0" fillId="4" borderId="0" xfId="0" applyNumberFormat="1" applyFill="1" applyAlignment="1">
      <alignment horizontal="left" indent="1"/>
    </xf>
    <xf numFmtId="9" fontId="0" fillId="0" borderId="0" xfId="2" applyFont="1"/>
    <xf numFmtId="164" fontId="2" fillId="0" borderId="0" xfId="1" applyNumberFormat="1" applyFont="1" applyBorder="1"/>
    <xf numFmtId="164" fontId="28" fillId="0" borderId="0" xfId="1" applyNumberFormat="1" applyFont="1" applyBorder="1" applyAlignment="1">
      <alignment horizontal="right"/>
    </xf>
    <xf numFmtId="0" fontId="0" fillId="0" borderId="16" xfId="0" applyBorder="1"/>
    <xf numFmtId="164" fontId="5" fillId="0" borderId="0" xfId="1" applyNumberFormat="1" applyFont="1" applyBorder="1" applyAlignment="1">
      <alignment horizontal="right"/>
    </xf>
    <xf numFmtId="43" fontId="22" fillId="0" borderId="0" xfId="1" applyNumberFormat="1" applyFont="1" applyBorder="1"/>
    <xf numFmtId="1" fontId="19" fillId="0" borderId="0" xfId="0" applyNumberFormat="1" applyFont="1" applyAlignment="1">
      <alignment vertical="center"/>
    </xf>
    <xf numFmtId="1" fontId="29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0" fillId="0" borderId="0" xfId="0" applyFont="1"/>
    <xf numFmtId="176" fontId="31" fillId="0" borderId="17" xfId="0" applyNumberFormat="1" applyFont="1" applyBorder="1" applyAlignment="1">
      <alignment horizontal="center"/>
    </xf>
    <xf numFmtId="176" fontId="8" fillId="0" borderId="17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32" fillId="0" borderId="0" xfId="0" applyFont="1"/>
    <xf numFmtId="0" fontId="8" fillId="0" borderId="19" xfId="0" applyFont="1" applyBorder="1"/>
    <xf numFmtId="0" fontId="4" fillId="0" borderId="19" xfId="0" applyFont="1" applyBorder="1"/>
    <xf numFmtId="173" fontId="33" fillId="0" borderId="19" xfId="0" applyNumberFormat="1" applyFont="1" applyBorder="1"/>
    <xf numFmtId="173" fontId="8" fillId="0" borderId="20" xfId="0" applyNumberFormat="1" applyFont="1" applyBorder="1" applyAlignment="1">
      <alignment horizontal="center"/>
    </xf>
    <xf numFmtId="165" fontId="9" fillId="0" borderId="0" xfId="0" applyNumberFormat="1" applyFont="1"/>
    <xf numFmtId="0" fontId="4" fillId="0" borderId="2" xfId="0" applyFont="1" applyBorder="1"/>
    <xf numFmtId="0" fontId="8" fillId="0" borderId="0" xfId="0" applyFont="1" applyAlignment="1">
      <alignment horizontal="center"/>
    </xf>
    <xf numFmtId="0" fontId="0" fillId="0" borderId="0" xfId="0"/>
    <xf numFmtId="10" fontId="4" fillId="0" borderId="0" xfId="0" applyNumberFormat="1" applyFont="1" applyAlignment="1">
      <alignment horizontal="right"/>
    </xf>
    <xf numFmtId="0" fontId="8" fillId="0" borderId="0" xfId="0" quotePrefix="1" applyFont="1" applyAlignment="1">
      <alignment horizontal="center"/>
    </xf>
    <xf numFmtId="0" fontId="8" fillId="0" borderId="13" xfId="0" applyFont="1" applyBorder="1" applyAlignment="1">
      <alignment horizontal="center"/>
    </xf>
    <xf numFmtId="0" fontId="7" fillId="0" borderId="13" xfId="0" applyFont="1" applyBorder="1"/>
    <xf numFmtId="0" fontId="4" fillId="0" borderId="21" xfId="0" applyFont="1" applyBorder="1" applyAlignment="1">
      <alignment horizontal="left"/>
    </xf>
    <xf numFmtId="10" fontId="4" fillId="0" borderId="21" xfId="0" applyNumberFormat="1" applyFont="1" applyBorder="1" applyAlignment="1">
      <alignment horizontal="right"/>
    </xf>
    <xf numFmtId="173" fontId="8" fillId="0" borderId="20" xfId="0" applyNumberFormat="1" applyFont="1" applyBorder="1"/>
    <xf numFmtId="0" fontId="8" fillId="0" borderId="13" xfId="0" applyFont="1" applyBorder="1" applyAlignment="1">
      <alignment horizontal="center"/>
    </xf>
    <xf numFmtId="10" fontId="8" fillId="0" borderId="1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165" fontId="9" fillId="0" borderId="2" xfId="0" applyNumberFormat="1" applyFont="1" applyBorder="1"/>
    <xf numFmtId="10" fontId="4" fillId="0" borderId="22" xfId="0" applyNumberFormat="1" applyFont="1" applyBorder="1"/>
    <xf numFmtId="0" fontId="4" fillId="0" borderId="22" xfId="0" applyFont="1" applyBorder="1"/>
    <xf numFmtId="164" fontId="4" fillId="0" borderId="22" xfId="0" applyNumberFormat="1" applyFont="1" applyBorder="1" applyAlignment="1">
      <alignment horizontal="center"/>
    </xf>
    <xf numFmtId="164" fontId="4" fillId="0" borderId="22" xfId="0" applyNumberFormat="1" applyFont="1" applyBorder="1"/>
    <xf numFmtId="0" fontId="4" fillId="0" borderId="22" xfId="0" quotePrefix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73" fontId="8" fillId="0" borderId="19" xfId="0" applyNumberFormat="1" applyFont="1" applyBorder="1"/>
    <xf numFmtId="10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37" fontId="4" fillId="0" borderId="19" xfId="0" applyNumberFormat="1" applyFont="1" applyBorder="1"/>
    <xf numFmtId="37" fontId="4" fillId="0" borderId="20" xfId="0" applyNumberFormat="1" applyFont="1" applyBorder="1"/>
    <xf numFmtId="165" fontId="34" fillId="0" borderId="0" xfId="0" applyNumberFormat="1" applyFont="1" applyAlignment="1">
      <alignment horizontal="right"/>
    </xf>
    <xf numFmtId="165" fontId="4" fillId="0" borderId="2" xfId="0" applyNumberFormat="1" applyFont="1" applyBorder="1"/>
    <xf numFmtId="173" fontId="8" fillId="0" borderId="0" xfId="0" applyNumberFormat="1" applyFont="1"/>
    <xf numFmtId="173" fontId="8" fillId="0" borderId="2" xfId="0" applyNumberFormat="1" applyFont="1" applyBorder="1"/>
    <xf numFmtId="177" fontId="27" fillId="0" borderId="22" xfId="0" applyNumberFormat="1" applyFont="1" applyBorder="1"/>
    <xf numFmtId="1" fontId="4" fillId="0" borderId="22" xfId="0" applyNumberFormat="1" applyFont="1" applyBorder="1"/>
    <xf numFmtId="177" fontId="4" fillId="0" borderId="22" xfId="0" applyNumberFormat="1" applyFont="1" applyBorder="1"/>
    <xf numFmtId="177" fontId="4" fillId="0" borderId="0" xfId="0" applyNumberFormat="1" applyFont="1"/>
    <xf numFmtId="0" fontId="4" fillId="0" borderId="21" xfId="0" applyFont="1" applyBorder="1"/>
    <xf numFmtId="3" fontId="4" fillId="0" borderId="21" xfId="0" applyNumberFormat="1" applyFont="1" applyBorder="1" applyAlignment="1">
      <alignment horizontal="right"/>
    </xf>
    <xf numFmtId="41" fontId="4" fillId="0" borderId="22" xfId="0" applyNumberFormat="1" applyFont="1" applyBorder="1"/>
    <xf numFmtId="177" fontId="4" fillId="7" borderId="18" xfId="0" applyNumberFormat="1" applyFont="1" applyFill="1" applyBorder="1"/>
    <xf numFmtId="37" fontId="27" fillId="0" borderId="19" xfId="0" applyNumberFormat="1" applyFont="1" applyBorder="1"/>
    <xf numFmtId="41" fontId="4" fillId="0" borderId="0" xfId="0" applyNumberFormat="1" applyFont="1"/>
    <xf numFmtId="37" fontId="27" fillId="0" borderId="0" xfId="0" applyNumberFormat="1" applyFont="1"/>
    <xf numFmtId="37" fontId="4" fillId="0" borderId="2" xfId="0" applyNumberFormat="1" applyFont="1" applyBorder="1"/>
    <xf numFmtId="167" fontId="4" fillId="0" borderId="0" xfId="0" applyNumberFormat="1" applyFont="1" applyAlignment="1">
      <alignment horizontal="right"/>
    </xf>
    <xf numFmtId="0" fontId="6" fillId="3" borderId="0" xfId="0" applyFont="1" applyFill="1"/>
    <xf numFmtId="173" fontId="6" fillId="3" borderId="0" xfId="0" applyNumberFormat="1" applyFont="1" applyFill="1"/>
    <xf numFmtId="173" fontId="6" fillId="3" borderId="14" xfId="0" applyNumberFormat="1" applyFont="1" applyFill="1" applyBorder="1"/>
    <xf numFmtId="175" fontId="4" fillId="0" borderId="0" xfId="0" applyNumberFormat="1" applyFont="1" applyAlignment="1">
      <alignment horizontal="right"/>
    </xf>
    <xf numFmtId="1" fontId="4" fillId="0" borderId="21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174" fontId="8" fillId="0" borderId="13" xfId="0" applyNumberFormat="1" applyFont="1" applyBorder="1" applyAlignment="1">
      <alignment horizontal="right"/>
    </xf>
    <xf numFmtId="174" fontId="8" fillId="0" borderId="13" xfId="0" applyNumberFormat="1" applyFont="1" applyBorder="1"/>
    <xf numFmtId="10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0" fontId="4" fillId="0" borderId="23" xfId="0" applyNumberFormat="1" applyFont="1" applyBorder="1"/>
    <xf numFmtId="1" fontId="4" fillId="0" borderId="0" xfId="0" applyNumberFormat="1" applyFont="1" applyAlignment="1">
      <alignment horizontal="right"/>
    </xf>
    <xf numFmtId="178" fontId="8" fillId="0" borderId="17" xfId="0" applyNumberFormat="1" applyFont="1" applyBorder="1" applyAlignment="1">
      <alignment horizontal="center"/>
    </xf>
    <xf numFmtId="10" fontId="8" fillId="0" borderId="0" xfId="0" applyNumberFormat="1" applyFont="1" applyAlignment="1">
      <alignment horizontal="right"/>
    </xf>
    <xf numFmtId="10" fontId="36" fillId="8" borderId="0" xfId="0" applyNumberFormat="1" applyFont="1" applyFill="1" applyAlignment="1">
      <alignment horizontal="center"/>
    </xf>
    <xf numFmtId="178" fontId="36" fillId="8" borderId="0" xfId="0" applyNumberFormat="1" applyFont="1" applyFill="1" applyAlignment="1">
      <alignment horizontal="center"/>
    </xf>
    <xf numFmtId="165" fontId="5" fillId="0" borderId="23" xfId="0" applyNumberFormat="1" applyFont="1" applyBorder="1"/>
    <xf numFmtId="1" fontId="4" fillId="0" borderId="22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76" fontId="4" fillId="0" borderId="17" xfId="0" applyNumberFormat="1" applyFont="1" applyBorder="1" applyAlignment="1">
      <alignment horizontal="center"/>
    </xf>
    <xf numFmtId="0" fontId="18" fillId="0" borderId="0" xfId="0" applyFont="1"/>
    <xf numFmtId="37" fontId="4" fillId="0" borderId="0" xfId="0" applyNumberFormat="1" applyFont="1"/>
    <xf numFmtId="37" fontId="4" fillId="9" borderId="0" xfId="0" applyNumberFormat="1" applyFont="1" applyFill="1"/>
    <xf numFmtId="41" fontId="5" fillId="0" borderId="22" xfId="0" applyNumberFormat="1" applyFont="1" applyBorder="1"/>
    <xf numFmtId="37" fontId="8" fillId="0" borderId="13" xfId="0" applyNumberFormat="1" applyFont="1" applyBorder="1"/>
    <xf numFmtId="173" fontId="4" fillId="0" borderId="0" xfId="0" applyNumberFormat="1" applyFont="1"/>
    <xf numFmtId="175" fontId="4" fillId="0" borderId="0" xfId="0" applyNumberFormat="1" applyFont="1"/>
    <xf numFmtId="165" fontId="4" fillId="0" borderId="0" xfId="0" applyNumberFormat="1" applyFont="1"/>
    <xf numFmtId="0" fontId="8" fillId="0" borderId="21" xfId="0" applyFont="1" applyBorder="1"/>
    <xf numFmtId="177" fontId="8" fillId="0" borderId="21" xfId="0" applyNumberFormat="1" applyFont="1" applyBorder="1"/>
    <xf numFmtId="165" fontId="8" fillId="7" borderId="21" xfId="0" applyNumberFormat="1" applyFont="1" applyFill="1" applyBorder="1"/>
    <xf numFmtId="167" fontId="37" fillId="10" borderId="0" xfId="0" applyNumberFormat="1" applyFont="1" applyFill="1"/>
    <xf numFmtId="167" fontId="14" fillId="4" borderId="0" xfId="0" applyNumberFormat="1" applyFont="1" applyFill="1" applyAlignment="1">
      <alignment horizontal="left"/>
    </xf>
    <xf numFmtId="167" fontId="14" fillId="4" borderId="6" xfId="0" applyNumberFormat="1" applyFont="1" applyFill="1" applyBorder="1" applyAlignment="1">
      <alignment horizontal="left"/>
    </xf>
    <xf numFmtId="167" fontId="19" fillId="4" borderId="0" xfId="0" applyNumberFormat="1" applyFont="1" applyFill="1" applyAlignment="1">
      <alignment horizontal="left"/>
    </xf>
    <xf numFmtId="167" fontId="16" fillId="4" borderId="0" xfId="0" applyNumberFormat="1" applyFont="1" applyFill="1"/>
    <xf numFmtId="164" fontId="5" fillId="4" borderId="0" xfId="0" applyNumberFormat="1" applyFont="1" applyFill="1" applyAlignment="1">
      <alignment horizontal="left" indent="1"/>
    </xf>
    <xf numFmtId="167" fontId="0" fillId="4" borderId="0" xfId="0" applyNumberFormat="1" applyFill="1" applyAlignment="1">
      <alignment horizontal="left" indent="1"/>
    </xf>
    <xf numFmtId="164" fontId="14" fillId="4" borderId="0" xfId="0" applyNumberFormat="1" applyFont="1" applyFill="1" applyAlignment="1">
      <alignment horizontal="left"/>
    </xf>
    <xf numFmtId="167" fontId="37" fillId="11" borderId="0" xfId="0" applyNumberFormat="1" applyFont="1" applyFill="1"/>
    <xf numFmtId="167" fontId="14" fillId="5" borderId="0" xfId="0" applyNumberFormat="1" applyFont="1" applyFill="1" applyAlignment="1">
      <alignment horizontal="left"/>
    </xf>
    <xf numFmtId="164" fontId="15" fillId="5" borderId="0" xfId="0" applyNumberFormat="1" applyFont="1" applyFill="1" applyAlignment="1">
      <alignment horizontal="left" indent="1"/>
    </xf>
    <xf numFmtId="164" fontId="15" fillId="5" borderId="0" xfId="0" applyNumberFormat="1" applyFont="1" applyFill="1" applyAlignment="1">
      <alignment horizontal="left" indent="2"/>
    </xf>
    <xf numFmtId="164" fontId="5" fillId="5" borderId="0" xfId="0" applyNumberFormat="1" applyFont="1" applyFill="1" applyAlignment="1">
      <alignment horizontal="left" indent="2"/>
    </xf>
    <xf numFmtId="164" fontId="15" fillId="5" borderId="8" xfId="0" applyNumberFormat="1" applyFont="1" applyFill="1" applyBorder="1" applyAlignment="1">
      <alignment horizontal="left" indent="2"/>
    </xf>
    <xf numFmtId="164" fontId="14" fillId="5" borderId="6" xfId="0" applyNumberFormat="1" applyFont="1" applyFill="1" applyBorder="1" applyAlignment="1">
      <alignment horizontal="left"/>
    </xf>
    <xf numFmtId="164" fontId="19" fillId="5" borderId="0" xfId="0" applyNumberFormat="1" applyFont="1" applyFill="1" applyAlignment="1">
      <alignment horizontal="left"/>
    </xf>
    <xf numFmtId="164" fontId="14" fillId="5" borderId="0" xfId="0" applyNumberFormat="1" applyFont="1" applyFill="1" applyAlignment="1">
      <alignment horizontal="left"/>
    </xf>
    <xf numFmtId="164" fontId="5" fillId="5" borderId="0" xfId="0" applyNumberFormat="1" applyFont="1" applyFill="1" applyAlignment="1">
      <alignment horizontal="left" indent="1"/>
    </xf>
    <xf numFmtId="164" fontId="15" fillId="5" borderId="0" xfId="0" applyNumberFormat="1" applyFont="1" applyFill="1"/>
    <xf numFmtId="164" fontId="15" fillId="12" borderId="0" xfId="0" applyNumberFormat="1" applyFont="1" applyFill="1"/>
    <xf numFmtId="164" fontId="15" fillId="12" borderId="10" xfId="0" applyNumberFormat="1" applyFont="1" applyFill="1" applyBorder="1"/>
    <xf numFmtId="164" fontId="5" fillId="5" borderId="0" xfId="0" applyNumberFormat="1" applyFont="1" applyFill="1"/>
    <xf numFmtId="164" fontId="5" fillId="12" borderId="0" xfId="0" applyNumberFormat="1" applyFont="1" applyFill="1"/>
    <xf numFmtId="164" fontId="5" fillId="12" borderId="10" xfId="0" applyNumberFormat="1" applyFont="1" applyFill="1" applyBorder="1"/>
    <xf numFmtId="164" fontId="23" fillId="5" borderId="0" xfId="0" applyNumberFormat="1" applyFont="1" applyFill="1"/>
    <xf numFmtId="164" fontId="15" fillId="5" borderId="8" xfId="0" applyNumberFormat="1" applyFont="1" applyFill="1" applyBorder="1"/>
    <xf numFmtId="164" fontId="15" fillId="12" borderId="8" xfId="0" applyNumberFormat="1" applyFont="1" applyFill="1" applyBorder="1"/>
    <xf numFmtId="164" fontId="15" fillId="12" borderId="11" xfId="0" applyNumberFormat="1" applyFont="1" applyFill="1" applyBorder="1"/>
    <xf numFmtId="164" fontId="5" fillId="5" borderId="8" xfId="0" applyNumberFormat="1" applyFont="1" applyFill="1" applyBorder="1"/>
    <xf numFmtId="164" fontId="5" fillId="12" borderId="8" xfId="0" applyNumberFormat="1" applyFont="1" applyFill="1" applyBorder="1"/>
    <xf numFmtId="164" fontId="14" fillId="5" borderId="6" xfId="0" applyNumberFormat="1" applyFont="1" applyFill="1" applyBorder="1"/>
    <xf numFmtId="164" fontId="14" fillId="12" borderId="6" xfId="0" applyNumberFormat="1" applyFont="1" applyFill="1" applyBorder="1"/>
    <xf numFmtId="164" fontId="14" fillId="12" borderId="12" xfId="0" applyNumberFormat="1" applyFont="1" applyFill="1" applyBorder="1"/>
    <xf numFmtId="164" fontId="19" fillId="5" borderId="6" xfId="0" applyNumberFormat="1" applyFont="1" applyFill="1" applyBorder="1"/>
    <xf numFmtId="164" fontId="19" fillId="12" borderId="6" xfId="0" applyNumberFormat="1" applyFont="1" applyFill="1" applyBorder="1"/>
    <xf numFmtId="164" fontId="19" fillId="5" borderId="0" xfId="0" applyNumberFormat="1" applyFont="1" applyFill="1"/>
    <xf numFmtId="164" fontId="19" fillId="12" borderId="0" xfId="0" applyNumberFormat="1" applyFont="1" applyFill="1"/>
    <xf numFmtId="164" fontId="19" fillId="12" borderId="10" xfId="0" applyNumberFormat="1" applyFont="1" applyFill="1" applyBorder="1"/>
    <xf numFmtId="164" fontId="14" fillId="5" borderId="0" xfId="0" applyNumberFormat="1" applyFont="1" applyFill="1"/>
    <xf numFmtId="164" fontId="14" fillId="12" borderId="0" xfId="0" applyNumberFormat="1" applyFont="1" applyFill="1"/>
    <xf numFmtId="164" fontId="14" fillId="12" borderId="10" xfId="0" applyNumberFormat="1" applyFont="1" applyFill="1" applyBorder="1"/>
    <xf numFmtId="164" fontId="23" fillId="12" borderId="0" xfId="0" applyNumberFormat="1" applyFont="1" applyFill="1"/>
    <xf numFmtId="0" fontId="4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yamanrakhecha/Documents/NND%20Model.xlsx" TargetMode="External"/><Relationship Id="rId1" Type="http://schemas.openxmlformats.org/officeDocument/2006/relationships/externalLinkPath" Target="NND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F Diff"/>
      <sheetName val="IS Build"/>
      <sheetName val="Rev"/>
      <sheetName val="DCF"/>
      <sheetName val="Comps"/>
      <sheetName val="IS_data"/>
      <sheetName val="BS_data"/>
      <sheetName val="CFS_data"/>
      <sheetName val="uti raw data"/>
    </sheetNames>
    <sheetDataSet>
      <sheetData sheetId="0">
        <row r="2">
          <cell r="Z2">
            <v>28.39</v>
          </cell>
        </row>
        <row r="5">
          <cell r="Z5">
            <v>117.3</v>
          </cell>
        </row>
        <row r="6">
          <cell r="Z6">
            <v>172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25DE-C451-4C49-BC8B-D652F48DC88C}">
  <dimension ref="A1:AM72"/>
  <sheetViews>
    <sheetView tabSelected="1" zoomScale="52" zoomScaleNormal="60" workbookViewId="0">
      <selection activeCell="E31" sqref="E31"/>
    </sheetView>
  </sheetViews>
  <sheetFormatPr baseColWidth="10" defaultRowHeight="16" x14ac:dyDescent="0.2"/>
  <cols>
    <col min="5" max="23" width="11" bestFit="1" customWidth="1"/>
    <col min="24" max="24" width="11.5" bestFit="1" customWidth="1"/>
    <col min="25" max="34" width="11" bestFit="1" customWidth="1"/>
  </cols>
  <sheetData>
    <row r="1" spans="1:39" x14ac:dyDescent="0.2">
      <c r="A1" s="1"/>
      <c r="B1" s="1"/>
      <c r="C1" s="1"/>
      <c r="D1" s="1"/>
      <c r="I1" s="2" t="s">
        <v>30</v>
      </c>
      <c r="J1" s="2"/>
      <c r="K1" s="2"/>
      <c r="L1" s="2"/>
      <c r="M1" s="2"/>
      <c r="N1" s="2" t="s">
        <v>0</v>
      </c>
      <c r="O1" s="2"/>
      <c r="P1" s="2"/>
      <c r="Q1" s="2"/>
      <c r="R1" s="2"/>
      <c r="S1" s="2" t="s">
        <v>1</v>
      </c>
      <c r="T1" s="2"/>
      <c r="U1" s="2"/>
      <c r="V1" s="2"/>
      <c r="W1" s="2"/>
      <c r="X1" s="2" t="s">
        <v>2</v>
      </c>
      <c r="Y1" s="3"/>
      <c r="Z1" s="3"/>
      <c r="AA1" s="3"/>
      <c r="AB1" s="3"/>
      <c r="AC1" s="3"/>
      <c r="AD1" s="3"/>
      <c r="AE1" s="3"/>
      <c r="AF1" s="3"/>
      <c r="AG1" s="3"/>
    </row>
    <row r="2" spans="1:39" x14ac:dyDescent="0.2">
      <c r="A2" s="1"/>
      <c r="B2" s="1"/>
      <c r="C2" s="1"/>
      <c r="D2" s="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 t="s">
        <v>4</v>
      </c>
      <c r="AD2" s="15"/>
      <c r="AE2" s="15"/>
      <c r="AF2" s="15"/>
      <c r="AG2" s="15"/>
      <c r="AH2" s="15"/>
    </row>
    <row r="3" spans="1:39" x14ac:dyDescent="0.2">
      <c r="A3" s="33"/>
      <c r="B3" s="33"/>
      <c r="C3" s="33"/>
      <c r="D3" s="33"/>
      <c r="E3" s="34" t="s">
        <v>31</v>
      </c>
      <c r="F3" s="34" t="s">
        <v>32</v>
      </c>
      <c r="G3" s="34" t="s">
        <v>33</v>
      </c>
      <c r="H3" s="34" t="s">
        <v>34</v>
      </c>
      <c r="I3" s="35" t="s">
        <v>35</v>
      </c>
      <c r="J3" s="34" t="s">
        <v>5</v>
      </c>
      <c r="K3" s="34" t="s">
        <v>6</v>
      </c>
      <c r="L3" s="34" t="s">
        <v>7</v>
      </c>
      <c r="M3" s="34" t="s">
        <v>8</v>
      </c>
      <c r="N3" s="35" t="s">
        <v>9</v>
      </c>
      <c r="O3" s="34" t="s">
        <v>10</v>
      </c>
      <c r="P3" s="34" t="s">
        <v>11</v>
      </c>
      <c r="Q3" s="34" t="s">
        <v>12</v>
      </c>
      <c r="R3" s="34" t="s">
        <v>13</v>
      </c>
      <c r="S3" s="35" t="s">
        <v>14</v>
      </c>
      <c r="T3" s="34" t="s">
        <v>15</v>
      </c>
      <c r="U3" s="34" t="s">
        <v>16</v>
      </c>
      <c r="V3" s="34" t="s">
        <v>17</v>
      </c>
      <c r="W3" s="34" t="s">
        <v>18</v>
      </c>
      <c r="X3" s="35" t="s">
        <v>19</v>
      </c>
      <c r="Y3" s="34" t="s">
        <v>20</v>
      </c>
      <c r="Z3" s="34" t="s">
        <v>36</v>
      </c>
      <c r="AA3" s="34" t="s">
        <v>22</v>
      </c>
      <c r="AB3" s="34" t="s">
        <v>23</v>
      </c>
      <c r="AC3" s="35" t="s">
        <v>24</v>
      </c>
      <c r="AD3" s="35" t="s">
        <v>25</v>
      </c>
      <c r="AE3" s="35" t="s">
        <v>26</v>
      </c>
      <c r="AF3" s="35" t="s">
        <v>27</v>
      </c>
      <c r="AG3" s="35" t="s">
        <v>28</v>
      </c>
      <c r="AH3" s="35" t="s">
        <v>37</v>
      </c>
    </row>
    <row r="4" spans="1:39" x14ac:dyDescent="0.2">
      <c r="D4" s="20"/>
      <c r="E4" s="50"/>
      <c r="F4" s="50"/>
      <c r="G4" s="50"/>
      <c r="H4" s="50"/>
      <c r="I4" s="50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3"/>
      <c r="AD4" s="43"/>
      <c r="AE4" s="43"/>
      <c r="AF4" s="43"/>
      <c r="AG4" s="43"/>
      <c r="AH4" s="43"/>
      <c r="AI4" s="21"/>
      <c r="AJ4" s="21"/>
      <c r="AK4" s="21"/>
    </row>
    <row r="5" spans="1:39" x14ac:dyDescent="0.2">
      <c r="A5" s="19" t="s">
        <v>38</v>
      </c>
      <c r="B5" s="17"/>
      <c r="C5" s="20"/>
      <c r="D5" s="25"/>
      <c r="E5" s="50"/>
      <c r="F5" s="50"/>
      <c r="G5" s="50"/>
      <c r="H5" s="50"/>
      <c r="I5" s="50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>
        <v>2</v>
      </c>
      <c r="V5" s="45">
        <v>7</v>
      </c>
      <c r="W5" s="45">
        <v>10</v>
      </c>
      <c r="X5" s="45">
        <v>19</v>
      </c>
      <c r="Y5" s="45">
        <v>52</v>
      </c>
      <c r="Z5" s="45">
        <v>88</v>
      </c>
      <c r="AA5" s="45">
        <v>164.5</v>
      </c>
      <c r="AB5" s="45">
        <v>164.5</v>
      </c>
      <c r="AC5" s="43">
        <v>468.95</v>
      </c>
      <c r="AD5" s="43">
        <v>1042.338</v>
      </c>
      <c r="AE5" s="43">
        <v>1801.4849999999999</v>
      </c>
      <c r="AF5" s="43">
        <v>2559.962</v>
      </c>
      <c r="AG5" s="43">
        <v>3345.2939999999999</v>
      </c>
      <c r="AH5" s="43">
        <v>4158.25</v>
      </c>
      <c r="AI5" s="41"/>
      <c r="AJ5" s="41"/>
      <c r="AK5" s="41"/>
      <c r="AL5" s="41"/>
      <c r="AM5" s="41"/>
    </row>
    <row r="6" spans="1:39" x14ac:dyDescent="0.2">
      <c r="B6" s="37"/>
      <c r="C6" s="26"/>
      <c r="D6" s="20"/>
      <c r="E6" s="50"/>
      <c r="F6" s="50"/>
      <c r="G6" s="50"/>
      <c r="H6" s="50"/>
      <c r="I6" s="50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21"/>
      <c r="AJ6" s="21"/>
      <c r="AK6" s="21"/>
    </row>
    <row r="7" spans="1:39" x14ac:dyDescent="0.2">
      <c r="A7" s="16" t="s">
        <v>51</v>
      </c>
      <c r="E7" s="51">
        <v>2365</v>
      </c>
      <c r="F7" s="51">
        <v>2192</v>
      </c>
      <c r="G7" s="51">
        <v>2441</v>
      </c>
      <c r="H7" s="51">
        <v>2731</v>
      </c>
      <c r="I7" s="51">
        <v>9729</v>
      </c>
      <c r="J7" s="51">
        <v>2564</v>
      </c>
      <c r="K7" s="51">
        <v>2269</v>
      </c>
      <c r="L7" s="51">
        <v>2273</v>
      </c>
      <c r="M7" s="51">
        <v>2247</v>
      </c>
      <c r="N7" s="51">
        <v>9353</v>
      </c>
      <c r="O7" s="51">
        <v>2179</v>
      </c>
      <c r="P7" s="51">
        <v>1747</v>
      </c>
      <c r="Q7" s="51">
        <v>1910</v>
      </c>
      <c r="R7" s="51">
        <v>1916</v>
      </c>
      <c r="S7" s="51">
        <v>7752</v>
      </c>
      <c r="T7" s="51">
        <v>2763</v>
      </c>
      <c r="U7" s="51">
        <v>2297</v>
      </c>
      <c r="V7" s="51">
        <v>2110</v>
      </c>
      <c r="W7" s="51">
        <v>2735</v>
      </c>
      <c r="X7" s="51">
        <v>9905</v>
      </c>
      <c r="Y7" s="51">
        <v>3030.3599999999997</v>
      </c>
      <c r="Z7" s="51">
        <v>2535.4499999999998</v>
      </c>
      <c r="AA7" s="51">
        <v>2338.4</v>
      </c>
      <c r="AB7" s="51">
        <v>2996.2299999999996</v>
      </c>
      <c r="AC7" s="51">
        <v>10900.44</v>
      </c>
      <c r="AD7" s="51">
        <v>11897.187600000001</v>
      </c>
      <c r="AE7" s="51">
        <v>12402.186852000001</v>
      </c>
      <c r="AF7" s="51">
        <v>12823.01183904</v>
      </c>
      <c r="AG7" s="51">
        <v>13259.164575820803</v>
      </c>
      <c r="AH7" s="51">
        <v>13711.228067337219</v>
      </c>
    </row>
    <row r="8" spans="1:39" x14ac:dyDescent="0.2">
      <c r="A8" s="16" t="s">
        <v>52</v>
      </c>
      <c r="E8" s="51">
        <v>681</v>
      </c>
      <c r="F8" s="51">
        <v>645</v>
      </c>
      <c r="G8" s="51">
        <v>658</v>
      </c>
      <c r="H8" s="51">
        <v>673</v>
      </c>
      <c r="I8" s="51">
        <v>2657</v>
      </c>
      <c r="J8" s="51">
        <v>717</v>
      </c>
      <c r="K8" s="51">
        <v>691</v>
      </c>
      <c r="L8" s="51">
        <v>705</v>
      </c>
      <c r="M8" s="51">
        <v>696</v>
      </c>
      <c r="N8" s="51">
        <v>2809</v>
      </c>
      <c r="O8" s="51">
        <v>781</v>
      </c>
      <c r="P8" s="51">
        <v>854</v>
      </c>
      <c r="Q8" s="51">
        <v>798</v>
      </c>
      <c r="R8" s="51">
        <v>786</v>
      </c>
      <c r="S8" s="51">
        <v>3219</v>
      </c>
      <c r="T8" s="51">
        <v>1123</v>
      </c>
      <c r="U8" s="51">
        <v>1067</v>
      </c>
      <c r="V8" s="51">
        <v>1039</v>
      </c>
      <c r="W8" s="51">
        <v>1274</v>
      </c>
      <c r="X8" s="51">
        <v>4503</v>
      </c>
      <c r="Y8" s="51">
        <v>1951.8999999999999</v>
      </c>
      <c r="Z8" s="51">
        <v>1907.4</v>
      </c>
      <c r="AA8" s="51">
        <v>1830.2</v>
      </c>
      <c r="AB8" s="51">
        <v>2354.0500000000002</v>
      </c>
      <c r="AC8" s="51">
        <v>8043.55</v>
      </c>
      <c r="AD8" s="51">
        <v>10148.373</v>
      </c>
      <c r="AE8" s="51">
        <v>10530.183449999999</v>
      </c>
      <c r="AF8" s="51">
        <v>10964.310202500001</v>
      </c>
      <c r="AG8" s="51">
        <v>11441.310566025</v>
      </c>
      <c r="AH8" s="51">
        <v>11955.47301249225</v>
      </c>
    </row>
    <row r="9" spans="1:39" x14ac:dyDescent="0.2">
      <c r="A9" s="16" t="s">
        <v>53</v>
      </c>
      <c r="B9" s="17"/>
      <c r="C9" s="20"/>
      <c r="D9" s="25"/>
      <c r="E9" s="50">
        <v>1776</v>
      </c>
      <c r="F9" s="50">
        <v>1312</v>
      </c>
      <c r="G9" s="50">
        <v>1317</v>
      </c>
      <c r="H9" s="50">
        <v>1273</v>
      </c>
      <c r="I9" s="50">
        <v>5678</v>
      </c>
      <c r="J9" s="45">
        <v>1515</v>
      </c>
      <c r="K9" s="45">
        <v>1144</v>
      </c>
      <c r="L9" s="45">
        <v>961</v>
      </c>
      <c r="M9" s="45">
        <v>959</v>
      </c>
      <c r="N9" s="45">
        <v>4579</v>
      </c>
      <c r="O9" s="45">
        <v>1173</v>
      </c>
      <c r="P9" s="45">
        <v>753</v>
      </c>
      <c r="Q9" s="45">
        <v>984</v>
      </c>
      <c r="R9" s="45">
        <v>1024</v>
      </c>
      <c r="S9" s="45">
        <v>3934</v>
      </c>
      <c r="T9" s="45">
        <v>1279</v>
      </c>
      <c r="U9" s="45">
        <v>1371</v>
      </c>
      <c r="V9" s="45">
        <v>879</v>
      </c>
      <c r="W9" s="45">
        <v>1139</v>
      </c>
      <c r="X9" s="45">
        <v>4668</v>
      </c>
      <c r="Y9" s="45">
        <v>1357.3</v>
      </c>
      <c r="Z9" s="45">
        <v>1475.7399999999998</v>
      </c>
      <c r="AA9" s="45">
        <v>917.24</v>
      </c>
      <c r="AB9" s="45">
        <v>1216.08</v>
      </c>
      <c r="AC9" s="45">
        <v>4966.3599999999997</v>
      </c>
      <c r="AD9" s="45">
        <v>4207.3591999999999</v>
      </c>
      <c r="AE9" s="45">
        <v>3283.4359839999997</v>
      </c>
      <c r="AF9" s="45">
        <v>2590.8595836799996</v>
      </c>
      <c r="AG9" s="45">
        <v>2069.8285193535999</v>
      </c>
      <c r="AH9" s="45">
        <v>1676.569972940672</v>
      </c>
      <c r="AI9" s="21"/>
      <c r="AJ9" s="21"/>
      <c r="AK9" s="21"/>
    </row>
    <row r="10" spans="1:39" x14ac:dyDescent="0.2">
      <c r="A10" s="36"/>
      <c r="B10" s="37"/>
      <c r="C10" s="26"/>
      <c r="D10" s="17"/>
      <c r="E10" s="50"/>
      <c r="F10" s="50"/>
      <c r="G10" s="50"/>
      <c r="H10" s="50"/>
      <c r="I10" s="50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21"/>
      <c r="AJ10" s="21"/>
      <c r="AK10" s="21"/>
    </row>
    <row r="11" spans="1:39" x14ac:dyDescent="0.2">
      <c r="A11" s="24" t="s">
        <v>39</v>
      </c>
      <c r="B11" s="17"/>
      <c r="C11" s="17"/>
      <c r="D11" s="25"/>
      <c r="E11" s="50">
        <v>2953</v>
      </c>
      <c r="F11" s="50">
        <v>2715</v>
      </c>
      <c r="G11" s="50">
        <v>2844</v>
      </c>
      <c r="H11" s="50">
        <v>2691</v>
      </c>
      <c r="I11" s="50">
        <v>11203</v>
      </c>
      <c r="J11" s="45">
        <v>3012</v>
      </c>
      <c r="K11" s="45">
        <v>2498</v>
      </c>
      <c r="L11" s="45">
        <v>2706</v>
      </c>
      <c r="M11" s="45">
        <v>2343</v>
      </c>
      <c r="N11" s="45">
        <v>10559</v>
      </c>
      <c r="O11" s="45">
        <v>2776</v>
      </c>
      <c r="P11" s="45">
        <v>2456</v>
      </c>
      <c r="Q11" s="45">
        <v>2219</v>
      </c>
      <c r="R11" s="45">
        <v>2123</v>
      </c>
      <c r="S11" s="45">
        <v>9574</v>
      </c>
      <c r="T11" s="45">
        <v>2968</v>
      </c>
      <c r="U11" s="45">
        <v>2436</v>
      </c>
      <c r="V11" s="45">
        <v>2518</v>
      </c>
      <c r="W11" s="45">
        <v>2867</v>
      </c>
      <c r="X11" s="45">
        <v>10789</v>
      </c>
      <c r="Y11" s="45">
        <v>3371.38</v>
      </c>
      <c r="Z11" s="45">
        <v>2787.75</v>
      </c>
      <c r="AA11" s="45">
        <v>2868.0299999999997</v>
      </c>
      <c r="AB11" s="45">
        <v>3269.78</v>
      </c>
      <c r="AC11" s="45">
        <v>12296.939999999999</v>
      </c>
      <c r="AD11" s="45">
        <v>14027.649800000001</v>
      </c>
      <c r="AE11" s="45">
        <v>15423.679230000002</v>
      </c>
      <c r="AF11" s="45">
        <v>16753.584078299999</v>
      </c>
      <c r="AG11" s="45">
        <v>17682.414009471002</v>
      </c>
      <c r="AH11" s="45">
        <v>18671.187176465675</v>
      </c>
      <c r="AI11" s="21"/>
      <c r="AJ11" s="21"/>
      <c r="AK11" s="21"/>
    </row>
    <row r="12" spans="1:39" x14ac:dyDescent="0.2">
      <c r="A12" s="36"/>
      <c r="B12" s="37"/>
      <c r="C12" s="26"/>
      <c r="D12" s="17"/>
      <c r="E12" s="50"/>
      <c r="F12" s="50"/>
      <c r="G12" s="50"/>
      <c r="H12" s="50"/>
      <c r="I12" s="50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21"/>
      <c r="AJ12" s="21"/>
      <c r="AK12" s="21"/>
    </row>
    <row r="13" spans="1:39" x14ac:dyDescent="0.2">
      <c r="A13" s="24" t="s">
        <v>40</v>
      </c>
      <c r="B13" s="17"/>
      <c r="C13" s="17"/>
      <c r="D13" s="20"/>
      <c r="E13" s="50">
        <v>4556</v>
      </c>
      <c r="F13" s="50">
        <v>4252</v>
      </c>
      <c r="G13" s="50">
        <v>4359</v>
      </c>
      <c r="H13" s="50">
        <v>4520</v>
      </c>
      <c r="I13" s="50">
        <v>17687</v>
      </c>
      <c r="J13" s="44">
        <v>4842</v>
      </c>
      <c r="K13" s="44">
        <v>3887</v>
      </c>
      <c r="L13" s="44">
        <v>4263</v>
      </c>
      <c r="M13" s="44">
        <v>4471</v>
      </c>
      <c r="N13" s="44">
        <v>17463</v>
      </c>
      <c r="O13" s="44">
        <v>4488</v>
      </c>
      <c r="P13" s="44">
        <v>3511</v>
      </c>
      <c r="Q13" s="44">
        <v>3808</v>
      </c>
      <c r="R13" s="44">
        <v>4142</v>
      </c>
      <c r="S13" s="44">
        <v>15949</v>
      </c>
      <c r="T13" s="44">
        <v>4487</v>
      </c>
      <c r="U13" s="44">
        <v>3868</v>
      </c>
      <c r="V13" s="44">
        <v>4150</v>
      </c>
      <c r="W13" s="44">
        <v>6017</v>
      </c>
      <c r="X13" s="44">
        <v>18522</v>
      </c>
      <c r="Y13" s="44">
        <v>4103.76</v>
      </c>
      <c r="Z13" s="44">
        <v>3716.12</v>
      </c>
      <c r="AA13" s="44">
        <v>3887.2599999999998</v>
      </c>
      <c r="AB13" s="44">
        <v>5416.39</v>
      </c>
      <c r="AC13" s="44">
        <v>17123.53</v>
      </c>
      <c r="AD13" s="44">
        <v>15993.214100000001</v>
      </c>
      <c r="AE13" s="44">
        <v>13955.691288999999</v>
      </c>
      <c r="AF13" s="44">
        <v>12796.338380810001</v>
      </c>
      <c r="AG13" s="44">
        <v>12181.887785584899</v>
      </c>
      <c r="AH13" s="44">
        <v>11931.067044827923</v>
      </c>
      <c r="AI13" s="21"/>
      <c r="AJ13" s="21"/>
      <c r="AK13" s="21"/>
    </row>
    <row r="14" spans="1:39" x14ac:dyDescent="0.2">
      <c r="A14" s="36"/>
      <c r="B14" s="17"/>
      <c r="C14" s="20"/>
      <c r="D14" s="20"/>
      <c r="E14" s="50"/>
      <c r="F14" s="50"/>
      <c r="G14" s="50"/>
      <c r="H14" s="50"/>
      <c r="I14" s="50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22"/>
      <c r="AJ14" s="22"/>
      <c r="AK14" s="21"/>
    </row>
    <row r="15" spans="1:39" x14ac:dyDescent="0.2">
      <c r="A15" s="24" t="s">
        <v>41</v>
      </c>
      <c r="B15" s="17"/>
      <c r="C15" s="20"/>
      <c r="D15" s="20"/>
      <c r="E15" s="50">
        <v>2535</v>
      </c>
      <c r="F15" s="50">
        <v>2041</v>
      </c>
      <c r="G15" s="50">
        <v>2391</v>
      </c>
      <c r="H15" s="50">
        <v>2085</v>
      </c>
      <c r="I15" s="50">
        <v>9052</v>
      </c>
      <c r="J15" s="44">
        <v>2312</v>
      </c>
      <c r="K15" s="44">
        <v>1851</v>
      </c>
      <c r="L15" s="44">
        <v>2053</v>
      </c>
      <c r="M15" s="44">
        <v>1970</v>
      </c>
      <c r="N15" s="51">
        <v>8186</v>
      </c>
      <c r="O15" s="51">
        <v>2012</v>
      </c>
      <c r="P15" s="51">
        <v>1967</v>
      </c>
      <c r="Q15" s="51">
        <v>1626</v>
      </c>
      <c r="R15" s="51">
        <v>1989</v>
      </c>
      <c r="S15" s="51">
        <v>7594</v>
      </c>
      <c r="T15" s="51">
        <v>1745</v>
      </c>
      <c r="U15" s="51">
        <v>1571</v>
      </c>
      <c r="V15" s="51">
        <v>1806</v>
      </c>
      <c r="W15" s="51">
        <v>1845</v>
      </c>
      <c r="X15" s="51">
        <v>6967</v>
      </c>
      <c r="Y15" s="44">
        <v>1815.58</v>
      </c>
      <c r="Z15" s="45">
        <v>1631.07</v>
      </c>
      <c r="AA15" s="45">
        <v>1896.4</v>
      </c>
      <c r="AB15" s="45">
        <v>1932.04</v>
      </c>
      <c r="AC15" s="45">
        <v>7275.09</v>
      </c>
      <c r="AD15" s="45">
        <v>7616.9133000000002</v>
      </c>
      <c r="AE15" s="45">
        <v>7741.889043000001</v>
      </c>
      <c r="AF15" s="45">
        <v>7880.6186100300019</v>
      </c>
      <c r="AG15" s="45">
        <v>8033.380300416301</v>
      </c>
      <c r="AH15" s="45">
        <v>8200.478336510525</v>
      </c>
      <c r="AI15" s="27"/>
      <c r="AJ15" s="27"/>
      <c r="AK15" s="21"/>
    </row>
    <row r="16" spans="1:39" x14ac:dyDescent="0.2">
      <c r="A16" s="36"/>
      <c r="B16" s="17"/>
      <c r="C16" s="20"/>
      <c r="D16" s="25"/>
      <c r="E16" s="50"/>
      <c r="F16" s="50"/>
      <c r="G16" s="50"/>
      <c r="H16" s="50"/>
      <c r="I16" s="50"/>
      <c r="J16" s="45"/>
      <c r="K16" s="45"/>
      <c r="L16" s="45"/>
      <c r="M16" s="45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5"/>
      <c r="Z16" s="44"/>
      <c r="AA16" s="44"/>
      <c r="AB16" s="44"/>
      <c r="AC16" s="44"/>
      <c r="AD16" s="44"/>
      <c r="AE16" s="44"/>
      <c r="AF16" s="44"/>
      <c r="AG16" s="44"/>
      <c r="AH16" s="44"/>
      <c r="AI16" s="22"/>
      <c r="AJ16" s="22"/>
      <c r="AK16" s="21"/>
    </row>
    <row r="17" spans="1:37" x14ac:dyDescent="0.2">
      <c r="A17" s="19" t="s">
        <v>42</v>
      </c>
      <c r="B17" s="37"/>
      <c r="C17" s="26"/>
      <c r="D17" s="20"/>
      <c r="E17" s="50">
        <v>3909</v>
      </c>
      <c r="F17" s="50">
        <v>3697</v>
      </c>
      <c r="G17" s="50">
        <v>3615</v>
      </c>
      <c r="H17" s="50">
        <v>3833</v>
      </c>
      <c r="I17" s="50">
        <v>15054</v>
      </c>
      <c r="J17" s="44">
        <v>3322</v>
      </c>
      <c r="K17" s="44">
        <v>2710</v>
      </c>
      <c r="L17" s="44">
        <v>2967</v>
      </c>
      <c r="M17" s="44">
        <v>3323</v>
      </c>
      <c r="N17" s="51">
        <v>12322</v>
      </c>
      <c r="O17" s="51">
        <v>2815</v>
      </c>
      <c r="P17" s="51">
        <v>1836</v>
      </c>
      <c r="Q17" s="51">
        <v>2227</v>
      </c>
      <c r="R17" s="51">
        <v>1786</v>
      </c>
      <c r="S17" s="51">
        <v>8664</v>
      </c>
      <c r="T17" s="51">
        <v>2159</v>
      </c>
      <c r="U17" s="51">
        <v>2242</v>
      </c>
      <c r="V17" s="51">
        <v>-322</v>
      </c>
      <c r="W17" s="51">
        <v>1403</v>
      </c>
      <c r="X17" s="51">
        <v>5482</v>
      </c>
      <c r="Y17" s="44">
        <v>2489.6</v>
      </c>
      <c r="Z17" s="44">
        <v>2598.8500000000004</v>
      </c>
      <c r="AA17" s="44">
        <v>2045.6999999999998</v>
      </c>
      <c r="AB17" s="44">
        <v>1628.3000000000002</v>
      </c>
      <c r="AC17" s="44">
        <v>8762.4500000000007</v>
      </c>
      <c r="AD17" s="44">
        <v>7796.2275000000009</v>
      </c>
      <c r="AE17" s="44">
        <v>4496.5017499999994</v>
      </c>
      <c r="AF17" s="44">
        <v>2667.1224750000001</v>
      </c>
      <c r="AG17" s="44">
        <v>1626.7713574999998</v>
      </c>
      <c r="AH17" s="44">
        <v>1018.6327627499999</v>
      </c>
      <c r="AI17" s="30"/>
      <c r="AJ17" s="30"/>
      <c r="AK17" s="21"/>
    </row>
    <row r="18" spans="1:37" x14ac:dyDescent="0.2">
      <c r="A18" s="36"/>
      <c r="B18" s="17"/>
      <c r="C18" s="20"/>
      <c r="D18" s="20"/>
      <c r="E18" s="50"/>
      <c r="F18" s="50"/>
      <c r="G18" s="50"/>
      <c r="H18" s="50"/>
      <c r="I18" s="50"/>
      <c r="J18" s="44"/>
      <c r="K18" s="44"/>
      <c r="L18" s="44"/>
      <c r="M18" s="44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22"/>
      <c r="AJ18" s="22"/>
      <c r="AK18" s="21"/>
    </row>
    <row r="19" spans="1:37" ht="17" x14ac:dyDescent="0.25">
      <c r="A19" s="19" t="s">
        <v>43</v>
      </c>
      <c r="B19" s="17"/>
      <c r="C19" s="29"/>
      <c r="D19" s="20"/>
      <c r="E19" s="50">
        <v>6662</v>
      </c>
      <c r="F19" s="50">
        <v>7435</v>
      </c>
      <c r="G19" s="50">
        <v>8892</v>
      </c>
      <c r="H19" s="50">
        <v>10716</v>
      </c>
      <c r="I19" s="50">
        <v>33705</v>
      </c>
      <c r="J19" s="44">
        <v>12035</v>
      </c>
      <c r="K19" s="44">
        <v>14349</v>
      </c>
      <c r="L19" s="44">
        <v>16390</v>
      </c>
      <c r="M19" s="44">
        <v>16976</v>
      </c>
      <c r="N19" s="51">
        <v>59750</v>
      </c>
      <c r="O19" s="51">
        <v>19640</v>
      </c>
      <c r="P19" s="51">
        <v>22101</v>
      </c>
      <c r="Q19" s="51">
        <v>23912</v>
      </c>
      <c r="R19" s="51">
        <v>30065</v>
      </c>
      <c r="S19" s="51">
        <v>95718</v>
      </c>
      <c r="T19" s="51">
        <v>27810</v>
      </c>
      <c r="U19" s="51">
        <v>28875</v>
      </c>
      <c r="V19" s="51">
        <v>29804</v>
      </c>
      <c r="W19" s="51">
        <v>33853</v>
      </c>
      <c r="X19" s="51">
        <v>120342</v>
      </c>
      <c r="Y19" s="44">
        <v>35031.480000000003</v>
      </c>
      <c r="Z19" s="45">
        <v>37124.21</v>
      </c>
      <c r="AA19" s="45">
        <f>(AC19-Y19-Z19)/2</f>
        <v>41703.458899999998</v>
      </c>
      <c r="AB19" s="45">
        <f>(AC19-Z19-Y19)/2</f>
        <v>41703.458899999998</v>
      </c>
      <c r="AC19" s="48">
        <f>233343.9117/1.5</f>
        <v>155562.6078</v>
      </c>
      <c r="AD19" s="48">
        <f>236709.5871/1.4</f>
        <v>169078.27650000001</v>
      </c>
      <c r="AE19" s="48">
        <v>187926.29449999999</v>
      </c>
      <c r="AF19" s="48">
        <v>191145.8817</v>
      </c>
      <c r="AG19" s="48">
        <v>195962.38519999999</v>
      </c>
      <c r="AH19" s="48">
        <v>212563.51920000001</v>
      </c>
      <c r="AI19" s="27"/>
      <c r="AJ19" s="27"/>
      <c r="AK19" s="21"/>
    </row>
    <row r="20" spans="1:37" x14ac:dyDescent="0.2">
      <c r="A20" s="36"/>
      <c r="B20" s="17"/>
      <c r="C20" s="20"/>
      <c r="D20" s="25"/>
      <c r="E20" s="50"/>
      <c r="F20" s="50"/>
      <c r="G20" s="50"/>
      <c r="H20" s="50"/>
      <c r="I20" s="50"/>
      <c r="J20" s="45"/>
      <c r="K20" s="45"/>
      <c r="L20" s="45"/>
      <c r="M20" s="45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45"/>
      <c r="Z20" s="44"/>
      <c r="AA20" s="44"/>
      <c r="AB20" s="44"/>
      <c r="AC20" s="44"/>
      <c r="AD20" s="44"/>
      <c r="AE20" s="44"/>
      <c r="AF20" s="44"/>
      <c r="AG20" s="44"/>
      <c r="AH20" s="44"/>
      <c r="AI20" s="22"/>
      <c r="AJ20" s="22"/>
      <c r="AK20" s="21"/>
    </row>
    <row r="21" spans="1:37" ht="17" x14ac:dyDescent="0.25">
      <c r="A21" s="19" t="s">
        <v>44</v>
      </c>
      <c r="B21" s="37"/>
      <c r="C21" s="26"/>
      <c r="D21" s="20"/>
      <c r="E21" s="50">
        <v>729</v>
      </c>
      <c r="F21" s="50">
        <v>945</v>
      </c>
      <c r="G21" s="50">
        <v>1341</v>
      </c>
      <c r="H21" s="50">
        <v>1823</v>
      </c>
      <c r="I21" s="50">
        <v>4838</v>
      </c>
      <c r="J21" s="44">
        <v>2063</v>
      </c>
      <c r="K21" s="44">
        <v>2172</v>
      </c>
      <c r="L21" s="44">
        <v>3011</v>
      </c>
      <c r="M21" s="44">
        <v>4053</v>
      </c>
      <c r="N21" s="51">
        <v>11299</v>
      </c>
      <c r="O21" s="51">
        <v>4356</v>
      </c>
      <c r="P21" s="51">
        <v>3988</v>
      </c>
      <c r="Q21" s="51">
        <v>4496</v>
      </c>
      <c r="R21" s="51">
        <v>5910</v>
      </c>
      <c r="S21" s="51">
        <v>18750</v>
      </c>
      <c r="T21" s="51">
        <v>5013</v>
      </c>
      <c r="U21" s="51">
        <v>5918</v>
      </c>
      <c r="V21" s="51">
        <v>5453</v>
      </c>
      <c r="W21" s="51">
        <v>6917</v>
      </c>
      <c r="X21" s="51">
        <v>23301</v>
      </c>
      <c r="Y21" s="44">
        <v>5764.95</v>
      </c>
      <c r="Z21" s="45">
        <v>6805.7000000000007</v>
      </c>
      <c r="AA21" s="45">
        <f>(AC21-Y21-Z21)/2</f>
        <v>3839.7792799999988</v>
      </c>
      <c r="AB21" s="45">
        <f>(AC21-Z21-Y21)/2</f>
        <v>3839.7792799999993</v>
      </c>
      <c r="AC21" s="48">
        <f>5062.55214*4</f>
        <v>20250.208559999999</v>
      </c>
      <c r="AD21" s="48">
        <f>8457.90113*4</f>
        <v>33831.604520000001</v>
      </c>
      <c r="AE21" s="48">
        <f>9352.50139*4</f>
        <v>37410.005559999998</v>
      </c>
      <c r="AF21" s="48">
        <f>10356.95341*4</f>
        <v>41427.81364</v>
      </c>
      <c r="AG21" s="48">
        <f>11494.71988*4</f>
        <v>45978.879520000002</v>
      </c>
      <c r="AH21" s="48">
        <f>12796.35369*4</f>
        <v>51185.41476</v>
      </c>
      <c r="AI21" s="27"/>
      <c r="AJ21" s="27"/>
      <c r="AK21" s="21"/>
    </row>
    <row r="22" spans="1:37" x14ac:dyDescent="0.2">
      <c r="A22" s="36"/>
      <c r="B22" s="17"/>
      <c r="C22" s="20"/>
      <c r="D22" s="25"/>
      <c r="E22" s="50"/>
      <c r="F22" s="50"/>
      <c r="G22" s="50"/>
      <c r="H22" s="50"/>
      <c r="I22" s="50"/>
      <c r="J22" s="45"/>
      <c r="K22" s="45"/>
      <c r="L22" s="45"/>
      <c r="M22" s="45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45"/>
      <c r="Z22" s="46"/>
      <c r="AA22" s="46"/>
      <c r="AB22" s="46"/>
      <c r="AC22" s="46"/>
      <c r="AD22" s="46"/>
      <c r="AE22" s="46"/>
      <c r="AF22" s="46"/>
      <c r="AG22" s="46"/>
      <c r="AH22" s="46"/>
      <c r="AI22" s="28"/>
      <c r="AJ22" s="28"/>
      <c r="AK22" s="21"/>
    </row>
    <row r="23" spans="1:37" x14ac:dyDescent="0.2">
      <c r="A23" s="24" t="s">
        <v>45</v>
      </c>
      <c r="B23" s="37"/>
      <c r="C23" s="26"/>
      <c r="D23" s="17"/>
      <c r="E23" s="50">
        <v>1110</v>
      </c>
      <c r="F23" s="50">
        <v>809</v>
      </c>
      <c r="G23" s="50">
        <v>859</v>
      </c>
      <c r="H23" s="50">
        <v>816</v>
      </c>
      <c r="I23" s="50">
        <v>3594</v>
      </c>
      <c r="J23" s="46">
        <v>884</v>
      </c>
      <c r="K23" s="46">
        <v>830</v>
      </c>
      <c r="L23" s="46">
        <v>798</v>
      </c>
      <c r="M23" s="46">
        <v>713</v>
      </c>
      <c r="N23" s="51">
        <v>3225</v>
      </c>
      <c r="O23" s="51">
        <v>729</v>
      </c>
      <c r="P23" s="51">
        <v>667</v>
      </c>
      <c r="Q23" s="51">
        <v>594</v>
      </c>
      <c r="R23" s="51">
        <v>322</v>
      </c>
      <c r="S23" s="51">
        <v>2312</v>
      </c>
      <c r="T23" s="51">
        <v>583</v>
      </c>
      <c r="U23" s="51">
        <v>533</v>
      </c>
      <c r="V23" s="51">
        <v>492</v>
      </c>
      <c r="W23" s="51">
        <v>512</v>
      </c>
      <c r="X23" s="51">
        <v>2120</v>
      </c>
      <c r="Y23" s="46">
        <v>532.89</v>
      </c>
      <c r="Z23" s="45">
        <v>479.38</v>
      </c>
      <c r="AA23" s="45">
        <v>442.28</v>
      </c>
      <c r="AB23" s="45">
        <v>460.66999999999996</v>
      </c>
      <c r="AC23" s="45">
        <v>1915.22</v>
      </c>
      <c r="AD23" s="45">
        <v>1773.7434000000001</v>
      </c>
      <c r="AE23" s="45">
        <v>1570.6364760000001</v>
      </c>
      <c r="AF23" s="45">
        <v>1430.23530312</v>
      </c>
      <c r="AG23" s="45">
        <v>1334.0039619024001</v>
      </c>
      <c r="AH23" s="45">
        <v>1268.9608082244479</v>
      </c>
      <c r="AI23" s="27"/>
      <c r="AJ23" s="27"/>
      <c r="AK23" s="21"/>
    </row>
    <row r="24" spans="1:37" x14ac:dyDescent="0.2">
      <c r="A24" s="17"/>
      <c r="B24" s="17"/>
      <c r="C24" s="17"/>
      <c r="D24" s="25"/>
      <c r="E24" s="50"/>
      <c r="F24" s="50"/>
      <c r="G24" s="50"/>
      <c r="H24" s="50"/>
      <c r="I24" s="50"/>
      <c r="J24" s="45"/>
      <c r="K24" s="45"/>
      <c r="L24" s="45"/>
      <c r="M24" s="45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45"/>
      <c r="Z24" s="44"/>
      <c r="AA24" s="44"/>
      <c r="AB24" s="44"/>
      <c r="AC24" s="44"/>
      <c r="AD24" s="44"/>
      <c r="AE24" s="44"/>
      <c r="AF24" s="44"/>
      <c r="AG24" s="44"/>
      <c r="AH24" s="44"/>
      <c r="AI24" s="22"/>
      <c r="AJ24" s="22"/>
      <c r="AK24" s="21"/>
    </row>
    <row r="25" spans="1:37" x14ac:dyDescent="0.2">
      <c r="A25" s="38" t="s">
        <v>50</v>
      </c>
      <c r="B25" s="37"/>
      <c r="C25" s="26"/>
      <c r="D25" s="20"/>
      <c r="E25" s="50">
        <v>1551</v>
      </c>
      <c r="F25" s="50">
        <v>1992</v>
      </c>
      <c r="G25" s="50">
        <v>2398</v>
      </c>
      <c r="H25" s="50">
        <v>2459</v>
      </c>
      <c r="I25" s="50">
        <v>8400</v>
      </c>
      <c r="J25" s="44">
        <v>3402</v>
      </c>
      <c r="K25" s="44">
        <v>3643</v>
      </c>
      <c r="L25" s="44">
        <v>4331</v>
      </c>
      <c r="M25" s="44">
        <v>5488</v>
      </c>
      <c r="N25" s="51">
        <v>16863</v>
      </c>
      <c r="O25" s="51">
        <v>7842</v>
      </c>
      <c r="P25" s="51">
        <v>10306</v>
      </c>
      <c r="Q25" s="51">
        <v>12255</v>
      </c>
      <c r="R25" s="51">
        <v>11229</v>
      </c>
      <c r="S25" s="51">
        <v>41632</v>
      </c>
      <c r="T25" s="51">
        <v>11035</v>
      </c>
      <c r="U25" s="51">
        <v>13904</v>
      </c>
      <c r="V25" s="51">
        <v>18801</v>
      </c>
      <c r="W25" s="51">
        <v>21406</v>
      </c>
      <c r="X25" s="51">
        <v>65146</v>
      </c>
      <c r="Y25" s="44">
        <v>16360.3</v>
      </c>
      <c r="Z25" s="44">
        <v>20251.400000000001</v>
      </c>
      <c r="AA25" s="44">
        <v>24152.799999999999</v>
      </c>
      <c r="AB25" s="44">
        <v>27135.45</v>
      </c>
      <c r="AC25" s="44">
        <v>87899.95</v>
      </c>
      <c r="AD25" s="44">
        <v>112410.58249999999</v>
      </c>
      <c r="AE25" s="44">
        <v>123060.518125</v>
      </c>
      <c r="AF25" s="44">
        <v>133265.22573125002</v>
      </c>
      <c r="AG25" s="44">
        <v>144386.48293381248</v>
      </c>
      <c r="AH25" s="44">
        <v>156509.87231778313</v>
      </c>
      <c r="AI25" s="22"/>
      <c r="AJ25" s="22"/>
      <c r="AK25" s="21"/>
    </row>
    <row r="26" spans="1:37" x14ac:dyDescent="0.2">
      <c r="A26" s="20"/>
      <c r="B26" s="20"/>
      <c r="C26" s="20"/>
      <c r="D26" s="20"/>
      <c r="E26" s="50"/>
      <c r="F26" s="50"/>
      <c r="G26" s="50"/>
      <c r="H26" s="50"/>
      <c r="I26" s="50"/>
      <c r="J26" s="44"/>
      <c r="K26" s="44"/>
      <c r="L26" s="44"/>
      <c r="M26" s="44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22"/>
      <c r="AJ26" s="22"/>
      <c r="AK26" s="21"/>
    </row>
    <row r="27" spans="1:37" x14ac:dyDescent="0.2">
      <c r="A27" s="39" t="s">
        <v>46</v>
      </c>
      <c r="B27" s="20"/>
      <c r="C27" s="20"/>
      <c r="D27" s="20"/>
      <c r="E27" s="50">
        <f>SUM(E25,E23,E21,E19,E17,E15,E13,E11,E9,E8,E7)</f>
        <v>28827</v>
      </c>
      <c r="F27" s="50">
        <f t="shared" ref="F27:AH27" si="0">SUM(F25,F23,F21,F19,F17,F15,F13,F11,F9,F8,F7)</f>
        <v>28035</v>
      </c>
      <c r="G27" s="50">
        <f t="shared" si="0"/>
        <v>31115</v>
      </c>
      <c r="H27" s="50">
        <f t="shared" si="0"/>
        <v>33620</v>
      </c>
      <c r="I27" s="50">
        <f t="shared" si="0"/>
        <v>121597</v>
      </c>
      <c r="J27" s="50">
        <f t="shared" si="0"/>
        <v>36668</v>
      </c>
      <c r="K27" s="50">
        <f t="shared" si="0"/>
        <v>36044</v>
      </c>
      <c r="L27" s="50">
        <f t="shared" si="0"/>
        <v>40458</v>
      </c>
      <c r="M27" s="50">
        <f t="shared" si="0"/>
        <v>43239</v>
      </c>
      <c r="N27" s="50">
        <f t="shared" si="0"/>
        <v>156408</v>
      </c>
      <c r="O27" s="50">
        <f t="shared" si="0"/>
        <v>48791</v>
      </c>
      <c r="P27" s="50">
        <f t="shared" si="0"/>
        <v>50186</v>
      </c>
      <c r="Q27" s="50">
        <f t="shared" si="0"/>
        <v>54829</v>
      </c>
      <c r="R27" s="50">
        <f t="shared" si="0"/>
        <v>61292</v>
      </c>
      <c r="S27" s="50">
        <f t="shared" si="0"/>
        <v>215098</v>
      </c>
      <c r="T27" s="50">
        <f t="shared" si="0"/>
        <v>60965</v>
      </c>
      <c r="U27" s="50">
        <f t="shared" si="0"/>
        <v>64082</v>
      </c>
      <c r="V27" s="50">
        <f t="shared" si="0"/>
        <v>66730</v>
      </c>
      <c r="W27" s="50">
        <f t="shared" si="0"/>
        <v>79968</v>
      </c>
      <c r="X27" s="50">
        <f t="shared" si="0"/>
        <v>271745</v>
      </c>
      <c r="Y27" s="50">
        <f t="shared" si="0"/>
        <v>75809.5</v>
      </c>
      <c r="Z27" s="50">
        <f t="shared" si="0"/>
        <v>81313.070000000007</v>
      </c>
      <c r="AA27" s="50">
        <f t="shared" si="0"/>
        <v>85921.548179999983</v>
      </c>
      <c r="AB27" s="50">
        <f t="shared" si="0"/>
        <v>91952.228179999991</v>
      </c>
      <c r="AC27" s="50">
        <f t="shared" si="0"/>
        <v>334996.34636000003</v>
      </c>
      <c r="AD27" s="50">
        <f t="shared" si="0"/>
        <v>388781.13142000005</v>
      </c>
      <c r="AE27" s="50">
        <f t="shared" si="0"/>
        <v>417801.02225899999</v>
      </c>
      <c r="AF27" s="50">
        <f t="shared" si="0"/>
        <v>433745.00154372992</v>
      </c>
      <c r="AG27" s="50">
        <f t="shared" si="0"/>
        <v>453956.5087298865</v>
      </c>
      <c r="AH27" s="50">
        <f t="shared" si="0"/>
        <v>488692.40345933195</v>
      </c>
      <c r="AI27" s="22"/>
      <c r="AJ27" s="22"/>
      <c r="AK27" s="21"/>
    </row>
    <row r="28" spans="1:37" x14ac:dyDescent="0.2">
      <c r="A28" s="20"/>
      <c r="B28" s="20"/>
      <c r="C28" s="20"/>
      <c r="D28" s="20"/>
      <c r="E28" s="50"/>
      <c r="F28" s="50"/>
      <c r="G28" s="50"/>
      <c r="H28" s="50"/>
      <c r="I28" s="50"/>
      <c r="J28" s="44"/>
      <c r="K28" s="44"/>
      <c r="L28" s="44"/>
      <c r="M28" s="44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44"/>
      <c r="Z28" s="45"/>
      <c r="AA28" s="45"/>
      <c r="AB28" s="45"/>
      <c r="AC28" s="45"/>
      <c r="AD28" s="45"/>
      <c r="AE28" s="45"/>
      <c r="AF28" s="45"/>
      <c r="AG28" s="45"/>
      <c r="AH28" s="45"/>
      <c r="AI28" s="27"/>
      <c r="AJ28" s="27"/>
      <c r="AK28" s="21"/>
    </row>
    <row r="29" spans="1:37" x14ac:dyDescent="0.2">
      <c r="A29" s="39" t="s">
        <v>47</v>
      </c>
      <c r="B29" s="25"/>
      <c r="C29" s="26"/>
      <c r="D29" s="25"/>
      <c r="E29" s="50">
        <v>4977</v>
      </c>
      <c r="F29" s="50">
        <v>5006</v>
      </c>
      <c r="G29" s="50">
        <v>4507</v>
      </c>
      <c r="H29" s="50">
        <v>4713</v>
      </c>
      <c r="I29" s="50">
        <v>19203</v>
      </c>
      <c r="J29" s="45">
        <v>5363</v>
      </c>
      <c r="K29" s="45">
        <v>5221</v>
      </c>
      <c r="L29" s="45">
        <v>5108</v>
      </c>
      <c r="M29" s="45">
        <v>4853</v>
      </c>
      <c r="N29" s="51">
        <v>20545</v>
      </c>
      <c r="O29" s="51">
        <v>4576</v>
      </c>
      <c r="P29" s="51">
        <v>4114</v>
      </c>
      <c r="Q29" s="51">
        <v>3902</v>
      </c>
      <c r="R29" s="51">
        <v>4571</v>
      </c>
      <c r="S29" s="51">
        <v>17163</v>
      </c>
      <c r="T29" s="51">
        <v>4384</v>
      </c>
      <c r="U29" s="51">
        <v>3976</v>
      </c>
      <c r="V29" s="51">
        <v>4574</v>
      </c>
      <c r="W29" s="51">
        <v>5705</v>
      </c>
      <c r="X29" s="51">
        <v>18639</v>
      </c>
      <c r="Y29" s="45">
        <v>4340.6399999999994</v>
      </c>
      <c r="Z29" s="44">
        <v>4005.9200000000005</v>
      </c>
      <c r="AA29" s="44">
        <v>4524.7800000000007</v>
      </c>
      <c r="AB29" s="44">
        <v>5561.2999999999993</v>
      </c>
      <c r="AC29" s="44">
        <v>18432.64</v>
      </c>
      <c r="AD29" s="44">
        <v>18672.963200000002</v>
      </c>
      <c r="AE29" s="44">
        <v>18052.865678000002</v>
      </c>
      <c r="AF29" s="44">
        <v>17675.021595220001</v>
      </c>
      <c r="AG29" s="44">
        <v>17473.083255657803</v>
      </c>
      <c r="AH29" s="44">
        <v>17418.786696018804</v>
      </c>
      <c r="AI29" s="22"/>
      <c r="AJ29" s="22"/>
      <c r="AK29" s="21"/>
    </row>
    <row r="30" spans="1:37" x14ac:dyDescent="0.2">
      <c r="A30" s="21"/>
      <c r="B30" s="20"/>
      <c r="C30" s="20"/>
      <c r="D30" s="20"/>
      <c r="E30" s="50"/>
      <c r="F30" s="50"/>
      <c r="G30" s="50"/>
      <c r="H30" s="50"/>
      <c r="I30" s="50"/>
      <c r="J30" s="44"/>
      <c r="K30" s="44"/>
      <c r="L30" s="44"/>
      <c r="M30" s="44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30"/>
      <c r="AJ30" s="30"/>
      <c r="AK30" s="21"/>
    </row>
    <row r="31" spans="1:37" x14ac:dyDescent="0.2">
      <c r="A31" s="40" t="s">
        <v>49</v>
      </c>
      <c r="B31" s="20"/>
      <c r="C31" s="29"/>
      <c r="D31" s="20"/>
      <c r="E31" s="50">
        <f>SUM(E27,E29)</f>
        <v>33804</v>
      </c>
      <c r="F31" s="50">
        <f t="shared" ref="F31:AH31" si="1">SUM(F27,F29)</f>
        <v>33041</v>
      </c>
      <c r="G31" s="50">
        <f t="shared" si="1"/>
        <v>35622</v>
      </c>
      <c r="H31" s="50">
        <f t="shared" si="1"/>
        <v>38333</v>
      </c>
      <c r="I31" s="50">
        <f t="shared" si="1"/>
        <v>140800</v>
      </c>
      <c r="J31" s="50">
        <f t="shared" si="1"/>
        <v>42031</v>
      </c>
      <c r="K31" s="50">
        <f t="shared" si="1"/>
        <v>41265</v>
      </c>
      <c r="L31" s="50">
        <f t="shared" si="1"/>
        <v>45566</v>
      </c>
      <c r="M31" s="50">
        <f t="shared" si="1"/>
        <v>48092</v>
      </c>
      <c r="N31" s="50">
        <f t="shared" si="1"/>
        <v>176953</v>
      </c>
      <c r="O31" s="50">
        <f t="shared" si="1"/>
        <v>53367</v>
      </c>
      <c r="P31" s="50">
        <f t="shared" si="1"/>
        <v>54300</v>
      </c>
      <c r="Q31" s="50">
        <f t="shared" si="1"/>
        <v>58731</v>
      </c>
      <c r="R31" s="50">
        <f t="shared" si="1"/>
        <v>65863</v>
      </c>
      <c r="S31" s="50">
        <f t="shared" si="1"/>
        <v>232261</v>
      </c>
      <c r="T31" s="50">
        <f t="shared" si="1"/>
        <v>65349</v>
      </c>
      <c r="U31" s="50">
        <f t="shared" si="1"/>
        <v>68058</v>
      </c>
      <c r="V31" s="50">
        <f t="shared" si="1"/>
        <v>71304</v>
      </c>
      <c r="W31" s="50">
        <f t="shared" si="1"/>
        <v>85673</v>
      </c>
      <c r="X31" s="50">
        <f t="shared" si="1"/>
        <v>290384</v>
      </c>
      <c r="Y31" s="50">
        <f t="shared" si="1"/>
        <v>80150.14</v>
      </c>
      <c r="Z31" s="50">
        <f t="shared" si="1"/>
        <v>85318.99</v>
      </c>
      <c r="AA31" s="50">
        <f t="shared" si="1"/>
        <v>90446.328179999982</v>
      </c>
      <c r="AB31" s="50">
        <f t="shared" si="1"/>
        <v>97513.528179999994</v>
      </c>
      <c r="AC31" s="50">
        <f t="shared" si="1"/>
        <v>353428.98636000004</v>
      </c>
      <c r="AD31" s="50">
        <f t="shared" si="1"/>
        <v>407454.09462000005</v>
      </c>
      <c r="AE31" s="50">
        <f t="shared" si="1"/>
        <v>435853.88793700002</v>
      </c>
      <c r="AF31" s="50">
        <f t="shared" si="1"/>
        <v>451420.02313894994</v>
      </c>
      <c r="AG31" s="50">
        <f t="shared" si="1"/>
        <v>471429.59198554431</v>
      </c>
      <c r="AH31" s="50">
        <f t="shared" si="1"/>
        <v>506111.19015535078</v>
      </c>
      <c r="AI31" s="22"/>
      <c r="AJ31" s="22"/>
      <c r="AK31" s="21"/>
    </row>
    <row r="32" spans="1:37" x14ac:dyDescent="0.2">
      <c r="A32" s="20"/>
      <c r="B32" s="20"/>
      <c r="C32" s="20"/>
      <c r="D32" s="20"/>
      <c r="E32" s="50"/>
      <c r="F32" s="50"/>
      <c r="G32" s="51"/>
      <c r="H32" s="51"/>
      <c r="I32" s="51"/>
      <c r="J32" s="44"/>
      <c r="K32" s="44"/>
      <c r="L32" s="44"/>
      <c r="M32" s="44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44"/>
      <c r="Z32" s="45"/>
      <c r="AA32" s="45"/>
      <c r="AB32" s="45"/>
      <c r="AC32" s="45"/>
      <c r="AD32" s="45"/>
      <c r="AE32" s="45"/>
      <c r="AF32" s="45"/>
      <c r="AG32" s="45"/>
      <c r="AH32" s="45"/>
      <c r="AI32" s="27"/>
      <c r="AJ32" s="27"/>
      <c r="AK32" s="21"/>
    </row>
    <row r="33" spans="1:37" x14ac:dyDescent="0.2">
      <c r="A33" s="21"/>
      <c r="B33" s="25"/>
      <c r="C33" s="26"/>
      <c r="D33" s="25"/>
      <c r="E33" s="50"/>
      <c r="F33" s="50"/>
      <c r="G33" s="51"/>
      <c r="H33" s="51"/>
      <c r="I33" s="51"/>
      <c r="J33" s="45"/>
      <c r="K33" s="45"/>
      <c r="L33" s="45"/>
      <c r="M33" s="45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45"/>
      <c r="Z33" s="44"/>
      <c r="AA33" s="44"/>
      <c r="AB33" s="44"/>
      <c r="AC33" s="44"/>
      <c r="AD33" s="44"/>
      <c r="AE33" s="44"/>
      <c r="AF33" s="44"/>
      <c r="AG33" s="44"/>
      <c r="AH33" s="44"/>
      <c r="AI33" s="22"/>
      <c r="AJ33" s="22"/>
      <c r="AK33" s="21"/>
    </row>
    <row r="34" spans="1:37" x14ac:dyDescent="0.2">
      <c r="A34" s="20"/>
      <c r="B34" s="20"/>
      <c r="C34" s="20"/>
      <c r="D34" s="20"/>
      <c r="E34" s="50"/>
      <c r="F34" s="50"/>
      <c r="G34" s="51"/>
      <c r="H34" s="51"/>
      <c r="I34" s="51"/>
      <c r="J34" s="44"/>
      <c r="K34" s="44"/>
      <c r="L34" s="44"/>
      <c r="M34" s="44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44"/>
      <c r="Z34" s="45"/>
      <c r="AA34" s="45"/>
      <c r="AB34" s="45"/>
      <c r="AC34" s="45"/>
      <c r="AD34" s="45"/>
      <c r="AE34" s="45"/>
      <c r="AF34" s="45"/>
      <c r="AG34" s="45"/>
      <c r="AH34" s="45"/>
      <c r="AI34" s="27"/>
      <c r="AJ34" s="27"/>
      <c r="AK34" s="21"/>
    </row>
    <row r="35" spans="1:37" x14ac:dyDescent="0.2">
      <c r="A35" s="21"/>
      <c r="B35" s="25"/>
      <c r="C35" s="26"/>
      <c r="D35" s="25"/>
      <c r="E35" s="50"/>
      <c r="F35" s="50"/>
      <c r="G35" s="51"/>
      <c r="H35" s="51"/>
      <c r="I35" s="51"/>
      <c r="J35" s="45"/>
      <c r="K35" s="45"/>
      <c r="L35" s="45"/>
      <c r="M35" s="45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45"/>
      <c r="Z35" s="46"/>
      <c r="AA35" s="46"/>
      <c r="AB35" s="46"/>
      <c r="AC35" s="46"/>
      <c r="AD35" s="46"/>
      <c r="AE35" s="46"/>
      <c r="AF35" s="46"/>
      <c r="AG35" s="46"/>
      <c r="AH35" s="46"/>
      <c r="AI35" s="28"/>
      <c r="AJ35" s="28"/>
      <c r="AK35" s="21"/>
    </row>
    <row r="36" spans="1:37" x14ac:dyDescent="0.2">
      <c r="A36" s="17"/>
      <c r="B36" s="17"/>
      <c r="C36" s="17"/>
      <c r="D36" s="17"/>
      <c r="E36" s="50"/>
      <c r="F36" s="50"/>
      <c r="G36" s="51"/>
      <c r="H36" s="51"/>
      <c r="I36" s="51"/>
      <c r="J36" s="46"/>
      <c r="K36" s="46"/>
      <c r="L36" s="46"/>
      <c r="M36" s="46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46"/>
      <c r="Z36" s="45"/>
      <c r="AA36" s="45"/>
      <c r="AB36" s="45"/>
      <c r="AC36" s="45"/>
      <c r="AD36" s="45"/>
      <c r="AE36" s="45"/>
      <c r="AF36" s="45"/>
      <c r="AG36" s="45"/>
      <c r="AH36" s="45"/>
      <c r="AI36" s="27"/>
      <c r="AJ36" s="27"/>
      <c r="AK36" s="21"/>
    </row>
    <row r="37" spans="1:37" x14ac:dyDescent="0.2">
      <c r="A37" s="21"/>
      <c r="B37" s="25"/>
      <c r="C37" s="26"/>
      <c r="D37" s="25"/>
      <c r="E37" s="50"/>
      <c r="F37" s="50"/>
      <c r="G37" s="51"/>
      <c r="H37" s="51"/>
      <c r="I37" s="51"/>
      <c r="J37" s="45"/>
      <c r="K37" s="45"/>
      <c r="L37" s="45"/>
      <c r="M37" s="45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45"/>
      <c r="Z37" s="44"/>
      <c r="AA37" s="44"/>
      <c r="AB37" s="44"/>
      <c r="AC37" s="44"/>
      <c r="AD37" s="44"/>
      <c r="AE37" s="44"/>
      <c r="AF37" s="44"/>
      <c r="AG37" s="44"/>
      <c r="AH37" s="44"/>
      <c r="AI37" s="22"/>
      <c r="AJ37" s="22"/>
      <c r="AK37" s="21"/>
    </row>
    <row r="38" spans="1:37" x14ac:dyDescent="0.2">
      <c r="A38" s="20"/>
      <c r="B38" s="20"/>
      <c r="C38" s="20"/>
      <c r="D38" s="20"/>
      <c r="E38" s="50"/>
      <c r="F38" s="50"/>
      <c r="G38" s="51"/>
      <c r="H38" s="51"/>
      <c r="I38" s="51"/>
      <c r="J38" s="44"/>
      <c r="K38" s="44"/>
      <c r="L38" s="44"/>
      <c r="M38" s="44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22"/>
      <c r="AJ38" s="22"/>
      <c r="AK38" s="21"/>
    </row>
    <row r="39" spans="1:37" x14ac:dyDescent="0.2">
      <c r="A39" s="20"/>
      <c r="B39" s="20"/>
      <c r="C39" s="20"/>
      <c r="D39" s="20"/>
      <c r="E39" s="50"/>
      <c r="F39" s="50"/>
      <c r="G39" s="51"/>
      <c r="H39" s="51"/>
      <c r="I39" s="51"/>
      <c r="J39" s="44"/>
      <c r="K39" s="44"/>
      <c r="L39" s="44"/>
      <c r="M39" s="44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13"/>
      <c r="AJ39" s="13"/>
      <c r="AK39" s="21"/>
    </row>
    <row r="40" spans="1:37" x14ac:dyDescent="0.2">
      <c r="A40" s="20"/>
      <c r="B40" s="20"/>
      <c r="C40" s="20"/>
      <c r="D40" s="20"/>
      <c r="E40" s="50"/>
      <c r="F40" s="50"/>
      <c r="G40" s="51"/>
      <c r="H40" s="51"/>
      <c r="I40" s="51"/>
      <c r="J40" s="44"/>
      <c r="K40" s="44"/>
      <c r="L40" s="44"/>
      <c r="M40" s="44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31"/>
      <c r="AJ40" s="31"/>
      <c r="AK40" s="21"/>
    </row>
    <row r="41" spans="1:37" x14ac:dyDescent="0.2">
      <c r="A41" s="20"/>
      <c r="B41" s="20"/>
      <c r="C41" s="20"/>
      <c r="D41" s="20"/>
      <c r="E41" s="50"/>
      <c r="F41" s="50"/>
      <c r="G41" s="51"/>
      <c r="H41" s="51"/>
      <c r="I41" s="51"/>
      <c r="J41" s="44"/>
      <c r="K41" s="44"/>
      <c r="L41" s="44"/>
      <c r="M41" s="44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22"/>
      <c r="AJ41" s="22"/>
      <c r="AK41" s="21"/>
    </row>
    <row r="42" spans="1:37" x14ac:dyDescent="0.2">
      <c r="A42" s="20"/>
      <c r="B42" s="20"/>
      <c r="C42" s="20"/>
      <c r="D42" s="20"/>
      <c r="E42" s="50"/>
      <c r="F42" s="50"/>
      <c r="G42" s="51"/>
      <c r="H42" s="51"/>
      <c r="I42" s="51"/>
      <c r="J42" s="44"/>
      <c r="K42" s="44"/>
      <c r="L42" s="44"/>
      <c r="M42" s="44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13"/>
      <c r="AJ42" s="13"/>
      <c r="AK42" s="21"/>
    </row>
    <row r="43" spans="1:37" x14ac:dyDescent="0.2">
      <c r="A43" s="20"/>
      <c r="B43" s="20"/>
      <c r="C43" s="20"/>
      <c r="D43" s="20"/>
      <c r="E43" s="50"/>
      <c r="F43" s="50"/>
      <c r="G43" s="51"/>
      <c r="H43" s="51"/>
      <c r="I43" s="51"/>
      <c r="J43" s="44"/>
      <c r="K43" s="44"/>
      <c r="L43" s="44"/>
      <c r="M43" s="44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1"/>
      <c r="AJ43" s="31"/>
      <c r="AK43" s="21"/>
    </row>
    <row r="44" spans="1:37" x14ac:dyDescent="0.2">
      <c r="A44" s="20"/>
      <c r="B44" s="20"/>
      <c r="C44" s="20"/>
      <c r="D44" s="20"/>
      <c r="E44" s="50"/>
      <c r="F44" s="50"/>
      <c r="G44" s="51"/>
      <c r="H44" s="51"/>
      <c r="I44" s="51"/>
      <c r="J44" s="44"/>
      <c r="K44" s="44"/>
      <c r="L44" s="44"/>
      <c r="M44" s="44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23"/>
      <c r="AJ44" s="23"/>
      <c r="AK44" s="21"/>
    </row>
    <row r="45" spans="1:37" x14ac:dyDescent="0.2">
      <c r="A45" s="20"/>
      <c r="B45" s="20"/>
      <c r="C45" s="20"/>
      <c r="D45" s="20"/>
      <c r="E45" s="50"/>
      <c r="F45" s="50"/>
      <c r="G45" s="51"/>
      <c r="H45" s="51"/>
      <c r="I45" s="51"/>
      <c r="J45" s="44"/>
      <c r="K45" s="44"/>
      <c r="L45" s="44"/>
      <c r="M45" s="44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13"/>
      <c r="AJ45" s="13"/>
      <c r="AK45" s="21"/>
    </row>
    <row r="46" spans="1:37" x14ac:dyDescent="0.2">
      <c r="A46" s="20"/>
      <c r="B46" s="20"/>
      <c r="C46" s="20"/>
      <c r="D46" s="20"/>
      <c r="E46" s="50"/>
      <c r="F46" s="50"/>
      <c r="G46" s="51"/>
      <c r="H46" s="51"/>
      <c r="I46" s="51"/>
      <c r="J46" s="44"/>
      <c r="K46" s="44"/>
      <c r="L46" s="44"/>
      <c r="M46" s="44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44"/>
      <c r="Z46" s="46"/>
      <c r="AA46" s="46"/>
      <c r="AB46" s="46"/>
      <c r="AC46" s="46"/>
      <c r="AD46" s="46"/>
      <c r="AE46" s="46"/>
      <c r="AF46" s="46"/>
      <c r="AG46" s="46"/>
      <c r="AH46" s="46"/>
      <c r="AI46" s="28"/>
      <c r="AJ46" s="28"/>
      <c r="AK46" s="21"/>
    </row>
    <row r="47" spans="1:37" x14ac:dyDescent="0.2">
      <c r="A47" s="17"/>
      <c r="B47" s="17"/>
      <c r="C47" s="17"/>
      <c r="D47" s="17"/>
      <c r="E47" s="50"/>
      <c r="F47" s="50"/>
      <c r="G47" s="51"/>
      <c r="H47" s="51"/>
      <c r="I47" s="51"/>
      <c r="J47" s="46"/>
      <c r="K47" s="46"/>
      <c r="L47" s="46"/>
      <c r="M47" s="46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46"/>
      <c r="Z47" s="44"/>
      <c r="AA47" s="44"/>
      <c r="AB47" s="44"/>
      <c r="AC47" s="44"/>
      <c r="AD47" s="44"/>
      <c r="AE47" s="44"/>
      <c r="AF47" s="44"/>
      <c r="AG47" s="44"/>
      <c r="AH47" s="44"/>
      <c r="AI47" s="13"/>
      <c r="AJ47" s="13"/>
      <c r="AK47" s="21"/>
    </row>
    <row r="48" spans="1:37" x14ac:dyDescent="0.2">
      <c r="A48" s="20"/>
      <c r="B48" s="20"/>
      <c r="C48" s="20"/>
      <c r="D48" s="20"/>
      <c r="E48" s="50"/>
      <c r="F48" s="50"/>
      <c r="G48" s="51"/>
      <c r="H48" s="51"/>
      <c r="I48" s="51"/>
      <c r="J48" s="44"/>
      <c r="K48" s="44"/>
      <c r="L48" s="44"/>
      <c r="M48" s="44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31"/>
      <c r="AJ48" s="31"/>
      <c r="AK48" s="21"/>
    </row>
    <row r="49" spans="1:37" x14ac:dyDescent="0.2">
      <c r="A49" s="20"/>
      <c r="B49" s="20"/>
      <c r="C49" s="20"/>
      <c r="D49" s="20"/>
      <c r="E49" s="50"/>
      <c r="F49" s="50"/>
      <c r="G49" s="51"/>
      <c r="H49" s="51"/>
      <c r="I49" s="51"/>
      <c r="J49" s="44"/>
      <c r="K49" s="44"/>
      <c r="L49" s="44"/>
      <c r="M49" s="44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2"/>
      <c r="Z49" s="44"/>
      <c r="AA49" s="44"/>
      <c r="AB49" s="44"/>
      <c r="AC49" s="44"/>
      <c r="AD49" s="44"/>
      <c r="AE49" s="44"/>
      <c r="AF49" s="44"/>
      <c r="AG49" s="44"/>
      <c r="AH49" s="44"/>
      <c r="AI49" s="22"/>
      <c r="AJ49" s="22"/>
      <c r="AK49" s="21"/>
    </row>
    <row r="50" spans="1:37" x14ac:dyDescent="0.2">
      <c r="A50" s="20"/>
      <c r="B50" s="20"/>
      <c r="C50" s="20"/>
      <c r="D50" s="20"/>
      <c r="E50" s="50"/>
      <c r="F50" s="50"/>
      <c r="G50" s="50"/>
      <c r="H50" s="50"/>
      <c r="I50" s="50"/>
      <c r="J50" s="44"/>
      <c r="K50" s="44"/>
      <c r="L50" s="44"/>
      <c r="M50" s="44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22"/>
      <c r="AJ50" s="22"/>
      <c r="AK50" s="21"/>
    </row>
    <row r="51" spans="1:37" x14ac:dyDescent="0.2">
      <c r="A51" s="20"/>
      <c r="B51" s="20"/>
      <c r="C51" s="20"/>
      <c r="D51" s="20"/>
      <c r="E51" s="50"/>
      <c r="F51" s="50"/>
      <c r="G51" s="50"/>
      <c r="H51" s="50"/>
      <c r="I51" s="50"/>
      <c r="J51" s="44"/>
      <c r="K51" s="44"/>
      <c r="L51" s="44"/>
      <c r="M51" s="44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44"/>
      <c r="Z51" s="45"/>
      <c r="AA51" s="45"/>
      <c r="AB51" s="45"/>
      <c r="AC51" s="45"/>
      <c r="AD51" s="45"/>
      <c r="AE51" s="45"/>
      <c r="AF51" s="45"/>
      <c r="AG51" s="45"/>
      <c r="AH51" s="45"/>
      <c r="AI51" s="27"/>
      <c r="AJ51" s="27"/>
      <c r="AK51" s="21"/>
    </row>
    <row r="52" spans="1:37" x14ac:dyDescent="0.2">
      <c r="A52" s="20"/>
      <c r="B52" s="20"/>
      <c r="C52" s="20"/>
      <c r="D52" s="20"/>
      <c r="E52" s="50"/>
      <c r="F52" s="50"/>
      <c r="G52" s="50"/>
      <c r="H52" s="50"/>
      <c r="I52" s="50"/>
      <c r="J52" s="44"/>
      <c r="K52" s="44"/>
      <c r="L52" s="44"/>
      <c r="M52" s="44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22"/>
      <c r="AJ52" s="22"/>
      <c r="AK52" s="21"/>
    </row>
    <row r="53" spans="1:37" x14ac:dyDescent="0.2">
      <c r="A53" s="20"/>
      <c r="B53" s="20"/>
      <c r="C53" s="20"/>
      <c r="D53" s="20"/>
      <c r="E53" s="21"/>
      <c r="F53" s="21"/>
      <c r="G53" s="21"/>
      <c r="H53" s="21"/>
      <c r="I53" s="21"/>
      <c r="J53" s="22"/>
      <c r="K53" s="22"/>
      <c r="L53" s="22"/>
      <c r="M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1"/>
    </row>
    <row r="54" spans="1:37" x14ac:dyDescent="0.2">
      <c r="A54" s="20"/>
      <c r="B54" s="20"/>
      <c r="C54" s="20"/>
      <c r="D54" s="20"/>
      <c r="E54" s="21"/>
      <c r="F54" s="21"/>
      <c r="G54" s="21"/>
      <c r="H54" s="21"/>
      <c r="I54" s="21"/>
      <c r="J54" s="22"/>
      <c r="K54" s="22"/>
      <c r="L54" s="22"/>
      <c r="M54" s="22"/>
      <c r="Y54" s="22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1"/>
    </row>
    <row r="55" spans="1:37" x14ac:dyDescent="0.2">
      <c r="A55" s="20"/>
      <c r="B55" s="20"/>
      <c r="C55" s="20"/>
      <c r="D55" s="20"/>
      <c r="E55" s="21"/>
      <c r="F55" s="21"/>
      <c r="G55" s="21"/>
      <c r="H55" s="21"/>
      <c r="I55" s="21"/>
      <c r="J55" s="23"/>
      <c r="K55" s="23"/>
      <c r="L55" s="23"/>
      <c r="M55" s="23"/>
      <c r="Y55" s="2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21"/>
    </row>
    <row r="56" spans="1:37" x14ac:dyDescent="0.2">
      <c r="A56" s="20"/>
      <c r="B56" s="20"/>
      <c r="C56" s="20"/>
      <c r="D56" s="20"/>
      <c r="E56" s="21"/>
      <c r="F56" s="21"/>
      <c r="G56" s="21"/>
      <c r="H56" s="21"/>
      <c r="I56" s="21"/>
      <c r="J56" s="13"/>
      <c r="K56" s="13"/>
      <c r="L56" s="13"/>
      <c r="M56" s="13"/>
      <c r="Y56" s="13"/>
      <c r="Z56" s="22"/>
      <c r="AA56" s="22"/>
      <c r="AB56" s="22"/>
      <c r="AC56" s="22"/>
      <c r="AD56" s="22"/>
      <c r="AE56" s="22"/>
      <c r="AF56" s="22"/>
      <c r="AG56" s="22"/>
      <c r="AH56" s="23"/>
      <c r="AI56" s="23"/>
      <c r="AJ56" s="23"/>
      <c r="AK56" s="21"/>
    </row>
    <row r="57" spans="1:37" x14ac:dyDescent="0.2">
      <c r="A57" s="20"/>
      <c r="B57" s="20"/>
      <c r="C57" s="20"/>
      <c r="D57" s="20"/>
      <c r="E57" s="22"/>
      <c r="F57" s="22"/>
      <c r="G57" s="22"/>
      <c r="H57" s="22"/>
      <c r="I57" s="22"/>
      <c r="J57" s="22"/>
      <c r="K57" s="22"/>
      <c r="L57" s="22"/>
      <c r="M57" s="22"/>
      <c r="Y57" s="23"/>
      <c r="Z57" s="22"/>
      <c r="AA57" s="22"/>
      <c r="AB57" s="22"/>
      <c r="AC57" s="22"/>
      <c r="AD57" s="22"/>
      <c r="AE57" s="22"/>
      <c r="AF57" s="22"/>
      <c r="AG57" s="22"/>
      <c r="AH57" s="23"/>
      <c r="AI57" s="23"/>
      <c r="AJ57" s="23"/>
      <c r="AK57" s="21"/>
    </row>
    <row r="58" spans="1:37" x14ac:dyDescent="0.2">
      <c r="A58" s="20"/>
      <c r="B58" s="20"/>
      <c r="C58" s="20"/>
      <c r="D58" s="20"/>
      <c r="E58" s="22"/>
      <c r="F58" s="22"/>
      <c r="G58" s="22"/>
      <c r="H58" s="22"/>
      <c r="I58" s="22"/>
      <c r="J58" s="22"/>
      <c r="K58" s="22"/>
      <c r="L58" s="22"/>
      <c r="M58" s="22"/>
      <c r="Y58" s="23"/>
      <c r="Z58" s="22"/>
      <c r="AA58" s="22"/>
      <c r="AB58" s="22"/>
      <c r="AC58" s="22"/>
      <c r="AD58" s="22"/>
      <c r="AE58" s="22"/>
      <c r="AF58" s="22"/>
      <c r="AG58" s="22"/>
      <c r="AH58" s="23"/>
      <c r="AI58" s="23"/>
      <c r="AJ58" s="23"/>
      <c r="AK58" s="21"/>
    </row>
    <row r="59" spans="1:37" x14ac:dyDescent="0.2">
      <c r="A59" s="20"/>
      <c r="B59" s="20"/>
      <c r="C59" s="20"/>
      <c r="D59" s="20"/>
      <c r="E59" s="22"/>
      <c r="F59" s="22"/>
      <c r="G59" s="22"/>
      <c r="H59" s="22"/>
      <c r="I59" s="22"/>
      <c r="J59" s="22"/>
      <c r="K59" s="22"/>
      <c r="L59" s="22"/>
      <c r="M59" s="22"/>
      <c r="Y59" s="23"/>
      <c r="Z59" s="22"/>
      <c r="AA59" s="22"/>
      <c r="AB59" s="22"/>
      <c r="AC59" s="22"/>
      <c r="AD59" s="22"/>
      <c r="AE59" s="22"/>
      <c r="AF59" s="22"/>
      <c r="AG59" s="22"/>
      <c r="AH59" s="23"/>
      <c r="AI59" s="23"/>
      <c r="AJ59" s="23"/>
      <c r="AK59" s="21"/>
    </row>
    <row r="60" spans="1:37" x14ac:dyDescent="0.2">
      <c r="A60" s="20"/>
      <c r="B60" s="20"/>
      <c r="C60" s="20"/>
      <c r="D60" s="20"/>
      <c r="E60" s="22"/>
      <c r="F60" s="22"/>
      <c r="G60" s="22"/>
      <c r="H60" s="22"/>
      <c r="I60" s="22"/>
      <c r="J60" s="22"/>
      <c r="K60" s="22"/>
      <c r="L60" s="22"/>
      <c r="M60" s="22"/>
      <c r="Y60" s="23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 spans="1:37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 spans="1:37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 spans="1:37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spans="1:37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 spans="1:37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spans="1:37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spans="1:37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spans="1:37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 spans="1:37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 spans="1:37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</row>
    <row r="72" spans="1:37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4746-066D-5D48-91B9-49DCD3976318}">
  <dimension ref="A1:AH42"/>
  <sheetViews>
    <sheetView topLeftCell="A2" zoomScale="75" workbookViewId="0">
      <selection activeCell="AB9" sqref="AB9"/>
    </sheetView>
  </sheetViews>
  <sheetFormatPr baseColWidth="10" defaultRowHeight="16" x14ac:dyDescent="0.2"/>
  <sheetData>
    <row r="1" spans="1:34" x14ac:dyDescent="0.2">
      <c r="A1" s="1"/>
      <c r="B1" s="1"/>
      <c r="C1" s="1"/>
      <c r="D1" s="1"/>
      <c r="I1" s="2" t="s">
        <v>30</v>
      </c>
      <c r="J1" s="2"/>
      <c r="K1" s="2"/>
      <c r="L1" s="2"/>
      <c r="M1" s="2"/>
      <c r="N1" s="2" t="s">
        <v>0</v>
      </c>
      <c r="O1" s="2"/>
      <c r="P1" s="2"/>
      <c r="Q1" s="2"/>
      <c r="R1" s="2"/>
      <c r="S1" s="2" t="s">
        <v>1</v>
      </c>
      <c r="T1" s="2"/>
      <c r="U1" s="2"/>
      <c r="V1" s="2"/>
      <c r="W1" s="2"/>
      <c r="X1" s="2" t="s">
        <v>2</v>
      </c>
      <c r="Y1" s="3"/>
      <c r="Z1" s="3"/>
      <c r="AA1" s="3"/>
      <c r="AB1" s="3"/>
      <c r="AC1" s="3"/>
      <c r="AD1" s="3"/>
      <c r="AE1" s="3"/>
      <c r="AF1" s="3"/>
      <c r="AG1" s="3"/>
    </row>
    <row r="2" spans="1:34" x14ac:dyDescent="0.2">
      <c r="A2" s="1"/>
      <c r="B2" s="1"/>
      <c r="C2" s="1"/>
      <c r="D2" s="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 t="s">
        <v>4</v>
      </c>
      <c r="AD2" s="15"/>
      <c r="AE2" s="15"/>
      <c r="AF2" s="15"/>
      <c r="AG2" s="15"/>
      <c r="AH2" s="15"/>
    </row>
    <row r="3" spans="1:34" x14ac:dyDescent="0.2">
      <c r="A3" s="33"/>
      <c r="B3" s="33"/>
      <c r="C3" s="33"/>
      <c r="D3" s="33"/>
      <c r="E3" s="34" t="s">
        <v>31</v>
      </c>
      <c r="F3" s="34" t="s">
        <v>32</v>
      </c>
      <c r="G3" s="34" t="s">
        <v>33</v>
      </c>
      <c r="H3" s="34" t="s">
        <v>34</v>
      </c>
      <c r="I3" s="35" t="s">
        <v>35</v>
      </c>
      <c r="J3" s="34" t="s">
        <v>5</v>
      </c>
      <c r="K3" s="34" t="s">
        <v>6</v>
      </c>
      <c r="L3" s="34" t="s">
        <v>7</v>
      </c>
      <c r="M3" s="34" t="s">
        <v>8</v>
      </c>
      <c r="N3" s="35" t="s">
        <v>9</v>
      </c>
      <c r="O3" s="34" t="s">
        <v>10</v>
      </c>
      <c r="P3" s="34" t="s">
        <v>11</v>
      </c>
      <c r="Q3" s="34" t="s">
        <v>12</v>
      </c>
      <c r="R3" s="34" t="s">
        <v>13</v>
      </c>
      <c r="S3" s="35" t="s">
        <v>14</v>
      </c>
      <c r="T3" s="34" t="s">
        <v>15</v>
      </c>
      <c r="U3" s="34" t="s">
        <v>16</v>
      </c>
      <c r="V3" s="34" t="s">
        <v>17</v>
      </c>
      <c r="W3" s="34" t="s">
        <v>18</v>
      </c>
      <c r="X3" s="35" t="s">
        <v>19</v>
      </c>
      <c r="Y3" s="34" t="s">
        <v>20</v>
      </c>
      <c r="Z3" s="34" t="s">
        <v>36</v>
      </c>
      <c r="AA3" s="34" t="s">
        <v>22</v>
      </c>
      <c r="AB3" s="34" t="s">
        <v>23</v>
      </c>
      <c r="AC3" s="35" t="s">
        <v>24</v>
      </c>
      <c r="AD3" s="35" t="s">
        <v>25</v>
      </c>
      <c r="AE3" s="35" t="s">
        <v>26</v>
      </c>
      <c r="AF3" s="35" t="s">
        <v>27</v>
      </c>
      <c r="AG3" s="35" t="s">
        <v>28</v>
      </c>
      <c r="AH3" s="35" t="s">
        <v>37</v>
      </c>
    </row>
    <row r="4" spans="1:34" x14ac:dyDescent="0.2">
      <c r="D4" s="20"/>
      <c r="E4" s="50"/>
      <c r="F4" s="50"/>
      <c r="G4" s="50"/>
      <c r="H4" s="50"/>
      <c r="I4" s="50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3"/>
      <c r="AD4" s="43"/>
      <c r="AE4" s="43"/>
      <c r="AF4" s="43"/>
      <c r="AG4" s="43"/>
      <c r="AH4" s="43"/>
    </row>
    <row r="5" spans="1:34" x14ac:dyDescent="0.2">
      <c r="A5" s="53" t="s">
        <v>57</v>
      </c>
      <c r="B5" s="17"/>
      <c r="C5" s="20"/>
      <c r="D5" s="25"/>
      <c r="E5" s="50">
        <v>5811</v>
      </c>
      <c r="F5" s="50">
        <v>5547</v>
      </c>
      <c r="G5" s="50">
        <v>6059</v>
      </c>
      <c r="H5" s="50">
        <v>6241</v>
      </c>
      <c r="I5" s="50">
        <v>23658</v>
      </c>
      <c r="J5" s="45">
        <v>6917</v>
      </c>
      <c r="K5" s="45">
        <v>6069</v>
      </c>
      <c r="L5" s="45">
        <v>7200</v>
      </c>
      <c r="M5" s="45">
        <v>8262</v>
      </c>
      <c r="N5" s="45">
        <v>28448</v>
      </c>
      <c r="O5" s="45">
        <v>8182</v>
      </c>
      <c r="P5" s="45">
        <v>7856</v>
      </c>
      <c r="Q5" s="45">
        <v>9713</v>
      </c>
      <c r="R5" s="45">
        <v>10014</v>
      </c>
      <c r="S5" s="45">
        <v>35765</v>
      </c>
      <c r="T5" s="45">
        <v>9916</v>
      </c>
      <c r="U5" s="45">
        <v>10274</v>
      </c>
      <c r="V5" s="45">
        <v>11308</v>
      </c>
      <c r="W5" s="45">
        <v>13024</v>
      </c>
      <c r="X5" s="45">
        <v>44522</v>
      </c>
      <c r="Y5" s="45">
        <v>11702.970000000001</v>
      </c>
      <c r="Z5" s="45">
        <v>12392.729800000001</v>
      </c>
      <c r="AA5" s="45">
        <f>'Revenue Build'!AA31*0.15</f>
        <v>13566.949226999997</v>
      </c>
      <c r="AB5" s="45">
        <f>'Revenue Build'!AB31*0.15</f>
        <v>14627.029226999999</v>
      </c>
      <c r="AC5" s="45">
        <f>'Revenue Build'!AC31*0.15</f>
        <v>53014.347954000004</v>
      </c>
      <c r="AD5" s="45">
        <f>'Revenue Build'!AD31*0.15</f>
        <v>61118.114193000001</v>
      </c>
      <c r="AE5" s="45">
        <f>'Revenue Build'!AE31*0.15</f>
        <v>65378.083190550002</v>
      </c>
      <c r="AF5" s="45">
        <f>'Revenue Build'!AF31*0.15</f>
        <v>67713.003470842494</v>
      </c>
      <c r="AG5" s="45">
        <f>'Revenue Build'!AG31*0.15</f>
        <v>70714.438797831637</v>
      </c>
      <c r="AH5" s="45">
        <f>'Revenue Build'!AH31*0.15</f>
        <v>75916.678523302617</v>
      </c>
    </row>
    <row r="6" spans="1:34" x14ac:dyDescent="0.2">
      <c r="A6" s="42"/>
      <c r="B6" s="37"/>
      <c r="C6" s="26"/>
      <c r="D6" s="20"/>
      <c r="E6" s="50"/>
      <c r="F6" s="50"/>
      <c r="G6" s="50"/>
      <c r="H6" s="50"/>
      <c r="I6" s="50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A7" s="53" t="s">
        <v>58</v>
      </c>
      <c r="E7" s="51">
        <v>9188</v>
      </c>
      <c r="F7" s="51">
        <v>8905</v>
      </c>
      <c r="G7" s="51">
        <v>10143</v>
      </c>
      <c r="H7" s="51">
        <v>12822</v>
      </c>
      <c r="I7" s="51">
        <v>41058</v>
      </c>
      <c r="J7" s="51">
        <v>11153</v>
      </c>
      <c r="K7" s="51">
        <v>11831</v>
      </c>
      <c r="L7" s="51">
        <v>12609</v>
      </c>
      <c r="M7" s="51">
        <v>15091</v>
      </c>
      <c r="N7" s="51">
        <v>50684</v>
      </c>
      <c r="O7" s="51">
        <v>13483</v>
      </c>
      <c r="P7" s="51">
        <v>15414</v>
      </c>
      <c r="Q7" s="51">
        <v>14075</v>
      </c>
      <c r="R7" s="51">
        <v>18626</v>
      </c>
      <c r="S7" s="51">
        <v>61598</v>
      </c>
      <c r="T7" s="51">
        <v>14413</v>
      </c>
      <c r="U7" s="51">
        <v>16091</v>
      </c>
      <c r="V7" s="51">
        <v>16592</v>
      </c>
      <c r="W7" s="51">
        <v>20281</v>
      </c>
      <c r="X7" s="51">
        <v>67377</v>
      </c>
      <c r="Y7" s="51">
        <v>21789.889500000001</v>
      </c>
      <c r="Z7" s="51">
        <v>23214.417110000002</v>
      </c>
      <c r="AA7" s="51">
        <f>'Revenue Build'!AA31*0.3</f>
        <v>27133.898453999995</v>
      </c>
      <c r="AB7" s="51">
        <f>'Revenue Build'!AB31*0.3</f>
        <v>29254.058453999998</v>
      </c>
      <c r="AC7" s="51">
        <f>'Revenue Build'!AC31*0.3</f>
        <v>106028.69590800001</v>
      </c>
      <c r="AD7" s="51">
        <f>'Revenue Build'!AD31*0.3</f>
        <v>122236.228386</v>
      </c>
      <c r="AE7" s="51">
        <f>'Revenue Build'!AE31*0.3</f>
        <v>130756.1663811</v>
      </c>
      <c r="AF7" s="51">
        <f>'Revenue Build'!AF31*0.25</f>
        <v>112855.00578473748</v>
      </c>
      <c r="AG7" s="51">
        <f>'Revenue Build'!AG31*0.25</f>
        <v>117857.39799638608</v>
      </c>
      <c r="AH7" s="51">
        <f>'Revenue Build'!AH31*0.25</f>
        <v>126527.79753883769</v>
      </c>
    </row>
    <row r="8" spans="1:34" x14ac:dyDescent="0.2">
      <c r="A8" s="42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</row>
    <row r="9" spans="1:34" x14ac:dyDescent="0.2">
      <c r="A9" s="53" t="s">
        <v>59</v>
      </c>
      <c r="B9" s="17"/>
      <c r="C9" s="20"/>
      <c r="D9" s="25"/>
      <c r="E9" s="50">
        <v>3944</v>
      </c>
      <c r="F9" s="50">
        <v>3944</v>
      </c>
      <c r="G9" s="50">
        <v>4252</v>
      </c>
      <c r="H9" s="50">
        <v>5632</v>
      </c>
      <c r="I9" s="50">
        <v>17772</v>
      </c>
      <c r="J9" s="45">
        <v>5206</v>
      </c>
      <c r="K9" s="45">
        <v>5123</v>
      </c>
      <c r="L9" s="45">
        <v>5633</v>
      </c>
      <c r="M9" s="45">
        <v>8085</v>
      </c>
      <c r="N9" s="45">
        <v>24047</v>
      </c>
      <c r="O9" s="45">
        <v>6728</v>
      </c>
      <c r="P9" s="45">
        <v>7127</v>
      </c>
      <c r="Q9" s="45">
        <v>8128</v>
      </c>
      <c r="R9" s="45">
        <v>10460</v>
      </c>
      <c r="S9" s="45">
        <v>32443</v>
      </c>
      <c r="T9" s="45">
        <v>8606</v>
      </c>
      <c r="U9" s="45">
        <v>16166</v>
      </c>
      <c r="V9" s="45">
        <v>9488</v>
      </c>
      <c r="W9" s="45">
        <v>13802</v>
      </c>
      <c r="X9" s="45">
        <v>48062</v>
      </c>
      <c r="Y9" s="45">
        <v>10044.4707</v>
      </c>
      <c r="Z9" s="45">
        <v>10691.528350000001</v>
      </c>
      <c r="AA9" s="51">
        <f>'Revenue Build'!AA31*0.15</f>
        <v>13566.949226999997</v>
      </c>
      <c r="AB9" s="51">
        <f>'Revenue Build'!AB31*0.15</f>
        <v>14627.029226999999</v>
      </c>
      <c r="AC9" s="51">
        <f>'Revenue Build'!AC31*0.15</f>
        <v>53014.347954000004</v>
      </c>
      <c r="AD9" s="51">
        <f>'Revenue Build'!AD31*0.15</f>
        <v>61118.114193000001</v>
      </c>
      <c r="AE9" s="51">
        <f>'Revenue Build'!AE31*0.15</f>
        <v>65378.083190550002</v>
      </c>
      <c r="AF9" s="51">
        <f>'Revenue Build'!AF31*0.15</f>
        <v>67713.003470842494</v>
      </c>
      <c r="AG9" s="51">
        <f>'Revenue Build'!AG31*0.12</f>
        <v>56571.551038265316</v>
      </c>
      <c r="AH9" s="51">
        <f>'Revenue Build'!AH31*0.12</f>
        <v>60733.342818642093</v>
      </c>
    </row>
    <row r="10" spans="1:34" x14ac:dyDescent="0.2">
      <c r="A10" s="36"/>
      <c r="B10" s="37"/>
      <c r="C10" s="26"/>
      <c r="D10" s="17"/>
      <c r="E10" s="50"/>
      <c r="F10" s="50"/>
      <c r="G10" s="50"/>
      <c r="H10" s="50"/>
      <c r="I10" s="50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</row>
    <row r="11" spans="1:34" x14ac:dyDescent="0.2">
      <c r="A11" s="24" t="s">
        <v>60</v>
      </c>
      <c r="B11" s="17"/>
      <c r="C11" s="17"/>
      <c r="D11" s="25"/>
      <c r="E11" s="50">
        <v>-121</v>
      </c>
      <c r="F11" s="50">
        <v>-134</v>
      </c>
      <c r="G11" s="50">
        <v>-81</v>
      </c>
      <c r="H11" s="50">
        <v>4</v>
      </c>
      <c r="I11" s="50">
        <v>-332</v>
      </c>
      <c r="J11" s="45">
        <v>-392</v>
      </c>
      <c r="K11" s="45">
        <v>-149</v>
      </c>
      <c r="L11" s="45">
        <v>-60</v>
      </c>
      <c r="M11" s="45">
        <v>-433</v>
      </c>
      <c r="N11" s="45">
        <v>-1034</v>
      </c>
      <c r="O11" s="45">
        <v>-33</v>
      </c>
      <c r="P11" s="45">
        <v>15</v>
      </c>
      <c r="Q11" s="45">
        <v>-98</v>
      </c>
      <c r="R11" s="45">
        <v>-3</v>
      </c>
      <c r="S11" s="45">
        <v>-119</v>
      </c>
      <c r="T11" s="45">
        <v>568</v>
      </c>
      <c r="U11" s="45">
        <v>-405</v>
      </c>
      <c r="V11" s="45">
        <v>101</v>
      </c>
      <c r="W11" s="45">
        <v>1839</v>
      </c>
      <c r="X11" s="45">
        <v>2103</v>
      </c>
      <c r="Y11" s="45">
        <v>-244.88706000000002</v>
      </c>
      <c r="Z11" s="45">
        <v>-260.12189000000001</v>
      </c>
      <c r="AA11" s="45">
        <v>-272.47179</v>
      </c>
      <c r="AB11" s="45">
        <v>-313.01792</v>
      </c>
      <c r="AC11" s="45">
        <v>-1090.49866</v>
      </c>
      <c r="AD11" s="45">
        <v>-1247.9735783000001</v>
      </c>
      <c r="AE11" s="45">
        <v>-1300.6798808809999</v>
      </c>
      <c r="AF11" s="45">
        <v>-1357.3868886149503</v>
      </c>
      <c r="AG11" s="45">
        <v>-1422.699716853366</v>
      </c>
      <c r="AH11" s="45">
        <v>-1496.5471040516834</v>
      </c>
    </row>
    <row r="12" spans="1:34" x14ac:dyDescent="0.2">
      <c r="A12" s="36"/>
      <c r="B12" s="37"/>
      <c r="C12" s="26"/>
      <c r="D12" s="17"/>
      <c r="E12" s="50"/>
      <c r="F12" s="50"/>
      <c r="G12" s="50"/>
      <c r="H12" s="50"/>
      <c r="I12" s="50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</row>
    <row r="13" spans="1:34" x14ac:dyDescent="0.2">
      <c r="A13" s="24"/>
      <c r="B13" s="17"/>
      <c r="C13" s="17"/>
      <c r="D13" s="20"/>
      <c r="E13" s="50"/>
      <c r="F13" s="50"/>
      <c r="G13" s="50"/>
      <c r="H13" s="50"/>
      <c r="I13" s="50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</row>
    <row r="14" spans="1:34" x14ac:dyDescent="0.2">
      <c r="A14" s="36"/>
      <c r="B14" s="17"/>
      <c r="C14" s="20"/>
      <c r="D14" s="20"/>
      <c r="E14" s="50"/>
      <c r="F14" s="50"/>
      <c r="G14" s="50"/>
      <c r="H14" s="50"/>
      <c r="I14" s="50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</row>
    <row r="15" spans="1:34" x14ac:dyDescent="0.2">
      <c r="A15" s="24"/>
      <c r="B15" s="17"/>
      <c r="C15" s="20"/>
      <c r="D15" s="20"/>
      <c r="E15" s="50"/>
      <c r="F15" s="50"/>
      <c r="G15" s="50"/>
      <c r="H15" s="50"/>
      <c r="I15" s="50"/>
      <c r="J15" s="44"/>
      <c r="K15" s="44"/>
      <c r="L15" s="44"/>
      <c r="M15" s="44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44"/>
      <c r="Z15" s="45"/>
      <c r="AA15" s="45"/>
      <c r="AB15" s="45"/>
      <c r="AC15" s="45"/>
      <c r="AD15" s="45"/>
      <c r="AE15" s="45"/>
      <c r="AF15" s="45"/>
      <c r="AG15" s="45"/>
      <c r="AH15" s="45"/>
    </row>
    <row r="16" spans="1:34" x14ac:dyDescent="0.2">
      <c r="A16" s="36"/>
      <c r="B16" s="17"/>
      <c r="C16" s="20"/>
      <c r="D16" s="25"/>
      <c r="E16" s="50"/>
      <c r="F16" s="50"/>
      <c r="G16" s="50"/>
      <c r="H16" s="50"/>
      <c r="I16" s="50"/>
      <c r="J16" s="45"/>
      <c r="K16" s="45"/>
      <c r="L16" s="45"/>
      <c r="M16" s="45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5"/>
      <c r="Z16" s="44"/>
      <c r="AA16" s="44"/>
      <c r="AB16" s="44"/>
      <c r="AC16" s="44"/>
      <c r="AD16" s="44"/>
      <c r="AE16" s="44"/>
      <c r="AF16" s="44"/>
      <c r="AG16" s="44"/>
      <c r="AH16" s="44"/>
    </row>
    <row r="17" spans="1:34" x14ac:dyDescent="0.2">
      <c r="A17" s="19"/>
      <c r="B17" s="37"/>
      <c r="C17" s="26"/>
      <c r="D17" s="20"/>
      <c r="E17" s="50"/>
      <c r="F17" s="50"/>
      <c r="G17" s="50"/>
      <c r="H17" s="50"/>
      <c r="I17" s="50"/>
      <c r="J17" s="44"/>
      <c r="K17" s="44"/>
      <c r="L17" s="44"/>
      <c r="M17" s="44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 spans="1:34" x14ac:dyDescent="0.2">
      <c r="A18" s="36"/>
      <c r="B18" s="17"/>
      <c r="C18" s="20"/>
      <c r="D18" s="20"/>
      <c r="E18" s="50"/>
      <c r="F18" s="50"/>
      <c r="G18" s="50"/>
      <c r="H18" s="50"/>
      <c r="I18" s="50"/>
      <c r="J18" s="44"/>
      <c r="K18" s="44"/>
      <c r="L18" s="44"/>
      <c r="M18" s="44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44"/>
      <c r="Z18" s="44"/>
      <c r="AA18" s="44"/>
      <c r="AB18" s="44"/>
      <c r="AC18" s="44"/>
      <c r="AD18" s="44"/>
      <c r="AE18" s="44"/>
      <c r="AF18" s="44"/>
      <c r="AG18" s="44"/>
      <c r="AH18" s="44"/>
    </row>
    <row r="19" spans="1:34" ht="17" x14ac:dyDescent="0.25">
      <c r="A19" s="19"/>
      <c r="B19" s="17"/>
      <c r="C19" s="29"/>
      <c r="D19" s="20"/>
      <c r="E19" s="50"/>
      <c r="F19" s="50"/>
      <c r="G19" s="50"/>
      <c r="H19" s="50"/>
      <c r="I19" s="50"/>
      <c r="J19" s="44"/>
      <c r="K19" s="44"/>
      <c r="L19" s="44"/>
      <c r="M19" s="44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44"/>
      <c r="Z19" s="45"/>
      <c r="AA19" s="45"/>
      <c r="AB19" s="45"/>
      <c r="AC19" s="48"/>
      <c r="AD19" s="48"/>
      <c r="AE19" s="48"/>
      <c r="AF19" s="48"/>
      <c r="AG19" s="48"/>
      <c r="AH19" s="48"/>
    </row>
    <row r="20" spans="1:34" x14ac:dyDescent="0.2">
      <c r="A20" s="36"/>
      <c r="B20" s="17"/>
      <c r="C20" s="20"/>
      <c r="D20" s="25"/>
      <c r="E20" s="50"/>
      <c r="F20" s="50"/>
      <c r="G20" s="50"/>
      <c r="H20" s="50"/>
      <c r="I20" s="50"/>
      <c r="J20" s="45"/>
      <c r="K20" s="45"/>
      <c r="L20" s="45"/>
      <c r="M20" s="45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45"/>
      <c r="Z20" s="44"/>
      <c r="AA20" s="44"/>
      <c r="AB20" s="44"/>
      <c r="AC20" s="44"/>
      <c r="AD20" s="44"/>
      <c r="AE20" s="44"/>
      <c r="AF20" s="44"/>
      <c r="AG20" s="44"/>
      <c r="AH20" s="44"/>
    </row>
    <row r="21" spans="1:34" ht="17" x14ac:dyDescent="0.25">
      <c r="A21" s="19"/>
      <c r="B21" s="37"/>
      <c r="C21" s="26"/>
      <c r="D21" s="20"/>
      <c r="E21" s="50"/>
      <c r="F21" s="50"/>
      <c r="G21" s="50"/>
      <c r="H21" s="50"/>
      <c r="I21" s="50"/>
      <c r="J21" s="44"/>
      <c r="K21" s="44"/>
      <c r="L21" s="44"/>
      <c r="M21" s="44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44"/>
      <c r="Z21" s="45"/>
      <c r="AA21" s="45"/>
      <c r="AB21" s="45"/>
      <c r="AC21" s="48"/>
      <c r="AD21" s="48"/>
      <c r="AE21" s="48"/>
      <c r="AF21" s="48"/>
      <c r="AG21" s="48"/>
      <c r="AH21" s="48"/>
    </row>
    <row r="22" spans="1:34" x14ac:dyDescent="0.2">
      <c r="A22" s="36"/>
      <c r="B22" s="17"/>
      <c r="C22" s="20"/>
      <c r="D22" s="25"/>
      <c r="E22" s="50"/>
      <c r="F22" s="50"/>
      <c r="G22" s="50"/>
      <c r="H22" s="50"/>
      <c r="I22" s="50"/>
      <c r="J22" s="45"/>
      <c r="K22" s="45"/>
      <c r="L22" s="45"/>
      <c r="M22" s="45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45"/>
      <c r="Z22" s="46"/>
      <c r="AA22" s="46"/>
      <c r="AB22" s="46"/>
      <c r="AC22" s="46"/>
      <c r="AD22" s="46"/>
      <c r="AE22" s="46"/>
      <c r="AF22" s="46"/>
      <c r="AG22" s="46"/>
      <c r="AH22" s="46"/>
    </row>
    <row r="23" spans="1:34" x14ac:dyDescent="0.2">
      <c r="A23" s="24"/>
      <c r="B23" s="37"/>
      <c r="C23" s="26"/>
      <c r="D23" s="17"/>
      <c r="E23" s="50"/>
      <c r="F23" s="50"/>
      <c r="G23" s="50"/>
      <c r="H23" s="50"/>
      <c r="I23" s="50"/>
      <c r="J23" s="46"/>
      <c r="K23" s="46"/>
      <c r="L23" s="46"/>
      <c r="M23" s="46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46"/>
      <c r="Z23" s="45"/>
      <c r="AA23" s="45"/>
      <c r="AB23" s="45"/>
      <c r="AC23" s="45"/>
      <c r="AD23" s="45"/>
      <c r="AE23" s="45"/>
      <c r="AF23" s="45"/>
      <c r="AG23" s="45"/>
      <c r="AH23" s="45"/>
    </row>
    <row r="24" spans="1:34" x14ac:dyDescent="0.2">
      <c r="A24" s="17"/>
      <c r="B24" s="17"/>
      <c r="C24" s="17"/>
      <c r="D24" s="25"/>
      <c r="E24" s="50"/>
      <c r="F24" s="50"/>
      <c r="G24" s="50"/>
      <c r="H24" s="50"/>
      <c r="I24" s="50"/>
      <c r="J24" s="45"/>
      <c r="K24" s="45"/>
      <c r="L24" s="45"/>
      <c r="M24" s="45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45"/>
      <c r="Z24" s="44"/>
      <c r="AA24" s="44"/>
      <c r="AB24" s="44"/>
      <c r="AC24" s="44"/>
      <c r="AD24" s="44"/>
      <c r="AE24" s="44"/>
      <c r="AF24" s="44"/>
      <c r="AG24" s="44"/>
      <c r="AH24" s="44"/>
    </row>
    <row r="25" spans="1:34" x14ac:dyDescent="0.2">
      <c r="A25" s="38"/>
      <c r="B25" s="37"/>
      <c r="C25" s="26"/>
      <c r="D25" s="20"/>
      <c r="E25" s="50"/>
      <c r="F25" s="50"/>
      <c r="G25" s="50"/>
      <c r="H25" s="50"/>
      <c r="I25" s="50"/>
      <c r="J25" s="44"/>
      <c r="K25" s="44"/>
      <c r="L25" s="44"/>
      <c r="M25" s="44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  <row r="26" spans="1:34" x14ac:dyDescent="0.2">
      <c r="A26" s="20"/>
      <c r="B26" s="20"/>
      <c r="C26" s="20"/>
      <c r="D26" s="20"/>
      <c r="E26" s="50"/>
      <c r="F26" s="50"/>
      <c r="G26" s="50"/>
      <c r="H26" s="50"/>
      <c r="I26" s="50"/>
      <c r="J26" s="44"/>
      <c r="K26" s="44"/>
      <c r="L26" s="44"/>
      <c r="M26" s="44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44"/>
      <c r="Z26" s="44"/>
      <c r="AA26" s="44"/>
      <c r="AB26" s="44"/>
      <c r="AC26" s="44"/>
      <c r="AD26" s="44"/>
      <c r="AE26" s="44"/>
      <c r="AF26" s="44"/>
      <c r="AG26" s="44"/>
      <c r="AH26" s="44"/>
    </row>
    <row r="27" spans="1:34" x14ac:dyDescent="0.2">
      <c r="A27" s="39"/>
      <c r="B27" s="20"/>
      <c r="C27" s="20"/>
      <c r="D27" s="2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</row>
    <row r="28" spans="1:34" x14ac:dyDescent="0.2">
      <c r="A28" s="20"/>
      <c r="B28" s="20"/>
      <c r="C28" s="20"/>
      <c r="D28" s="20"/>
      <c r="E28" s="50"/>
      <c r="F28" s="50"/>
      <c r="G28" s="50"/>
      <c r="H28" s="50"/>
      <c r="I28" s="50"/>
      <c r="J28" s="44"/>
      <c r="K28" s="44"/>
      <c r="L28" s="44"/>
      <c r="M28" s="44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44"/>
      <c r="Z28" s="45"/>
      <c r="AA28" s="45"/>
      <c r="AB28" s="45"/>
      <c r="AC28" s="45"/>
      <c r="AD28" s="45"/>
      <c r="AE28" s="45"/>
      <c r="AF28" s="45"/>
      <c r="AG28" s="45"/>
      <c r="AH28" s="45"/>
    </row>
    <row r="29" spans="1:34" x14ac:dyDescent="0.2">
      <c r="A29" s="39"/>
      <c r="B29" s="25"/>
      <c r="C29" s="26"/>
      <c r="D29" s="25"/>
      <c r="E29" s="50"/>
      <c r="F29" s="50"/>
      <c r="G29" s="50"/>
      <c r="H29" s="50"/>
      <c r="I29" s="50"/>
      <c r="J29" s="45"/>
      <c r="K29" s="45"/>
      <c r="L29" s="45"/>
      <c r="M29" s="45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45"/>
      <c r="Z29" s="44"/>
      <c r="AA29" s="44"/>
      <c r="AB29" s="44"/>
      <c r="AC29" s="44"/>
      <c r="AD29" s="44"/>
      <c r="AE29" s="44"/>
      <c r="AF29" s="44"/>
      <c r="AG29" s="44"/>
      <c r="AH29" s="44"/>
    </row>
    <row r="30" spans="1:34" x14ac:dyDescent="0.2">
      <c r="A30" s="21"/>
      <c r="B30" s="20"/>
      <c r="C30" s="20"/>
      <c r="D30" s="20"/>
      <c r="E30" s="50"/>
      <c r="F30" s="50"/>
      <c r="G30" s="50"/>
      <c r="H30" s="50"/>
      <c r="I30" s="50"/>
      <c r="J30" s="44"/>
      <c r="K30" s="44"/>
      <c r="L30" s="44"/>
      <c r="M30" s="44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44"/>
      <c r="Z30" s="44"/>
      <c r="AA30" s="44"/>
      <c r="AB30" s="44"/>
      <c r="AC30" s="44"/>
      <c r="AD30" s="44"/>
      <c r="AE30" s="44"/>
      <c r="AF30" s="44"/>
      <c r="AG30" s="44"/>
      <c r="AH30" s="44"/>
    </row>
    <row r="31" spans="1:34" x14ac:dyDescent="0.2">
      <c r="A31" s="40"/>
      <c r="B31" s="20"/>
      <c r="C31" s="29"/>
      <c r="D31" s="2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</row>
    <row r="32" spans="1:34" x14ac:dyDescent="0.2">
      <c r="A32" s="20"/>
      <c r="B32" s="20"/>
      <c r="C32" s="20"/>
      <c r="D32" s="20"/>
      <c r="E32" s="50"/>
      <c r="F32" s="50"/>
      <c r="G32" s="51"/>
      <c r="H32" s="51"/>
      <c r="I32" s="51"/>
      <c r="J32" s="44"/>
      <c r="K32" s="44"/>
      <c r="L32" s="44"/>
      <c r="M32" s="44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44"/>
      <c r="Z32" s="45"/>
      <c r="AA32" s="45"/>
      <c r="AB32" s="45"/>
      <c r="AC32" s="45"/>
      <c r="AD32" s="45"/>
      <c r="AE32" s="45"/>
      <c r="AF32" s="45"/>
      <c r="AG32" s="45"/>
      <c r="AH32" s="45"/>
    </row>
    <row r="33" spans="1:34" x14ac:dyDescent="0.2">
      <c r="A33" s="21"/>
      <c r="B33" s="25"/>
      <c r="C33" s="26"/>
      <c r="D33" s="25"/>
      <c r="E33" s="50"/>
      <c r="F33" s="50"/>
      <c r="G33" s="51"/>
      <c r="H33" s="51"/>
      <c r="I33" s="51"/>
      <c r="J33" s="45"/>
      <c r="K33" s="45"/>
      <c r="L33" s="45"/>
      <c r="M33" s="45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45"/>
      <c r="Z33" s="44"/>
      <c r="AA33" s="44"/>
      <c r="AB33" s="44"/>
      <c r="AC33" s="44"/>
      <c r="AD33" s="44"/>
      <c r="AE33" s="44"/>
      <c r="AF33" s="44"/>
      <c r="AG33" s="44"/>
      <c r="AH33" s="44"/>
    </row>
    <row r="34" spans="1:34" x14ac:dyDescent="0.2">
      <c r="A34" s="53" t="s">
        <v>54</v>
      </c>
      <c r="B34" s="20"/>
      <c r="C34" s="20"/>
      <c r="D34" s="20"/>
      <c r="E34" s="50"/>
      <c r="F34" s="50"/>
      <c r="G34" s="51"/>
      <c r="H34" s="51"/>
      <c r="I34" s="51"/>
      <c r="J34" s="44"/>
      <c r="K34" s="44"/>
      <c r="L34" s="44"/>
      <c r="M34" s="44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44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x14ac:dyDescent="0.2">
      <c r="A35" s="42" t="s">
        <v>55</v>
      </c>
      <c r="B35" s="25"/>
      <c r="C35" s="26"/>
      <c r="D35" s="25"/>
      <c r="E35" s="50"/>
      <c r="F35" s="50"/>
      <c r="G35" s="51"/>
      <c r="H35" s="51"/>
      <c r="I35" s="51"/>
      <c r="J35" s="45"/>
      <c r="K35" s="45"/>
      <c r="L35" s="45"/>
      <c r="M35" s="45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45"/>
      <c r="Z35" s="46"/>
      <c r="AA35" s="46"/>
      <c r="AB35" s="46"/>
      <c r="AC35" s="46"/>
      <c r="AD35" s="46"/>
      <c r="AE35" s="46"/>
      <c r="AF35" s="46"/>
      <c r="AG35" s="46"/>
      <c r="AH35" s="46"/>
    </row>
    <row r="36" spans="1:34" x14ac:dyDescent="0.2">
      <c r="A36" s="42" t="s">
        <v>56</v>
      </c>
      <c r="B36" s="17"/>
      <c r="C36" s="17"/>
      <c r="D36" s="17"/>
      <c r="E36" s="50"/>
      <c r="F36" s="50"/>
      <c r="G36" s="51"/>
      <c r="H36" s="51"/>
      <c r="I36" s="51"/>
      <c r="J36" s="46"/>
      <c r="K36" s="46"/>
      <c r="L36" s="46"/>
      <c r="M36" s="46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46"/>
      <c r="Z36" s="45"/>
      <c r="AA36" s="45"/>
      <c r="AB36" s="45"/>
      <c r="AC36" s="45"/>
      <c r="AD36" s="45"/>
      <c r="AE36" s="45"/>
      <c r="AF36" s="45"/>
      <c r="AG36" s="45"/>
      <c r="AH36" s="45"/>
    </row>
    <row r="37" spans="1:34" x14ac:dyDescent="0.2">
      <c r="A37" s="42" t="s">
        <v>61</v>
      </c>
      <c r="B37" s="25"/>
      <c r="C37" s="26"/>
      <c r="D37" s="25"/>
      <c r="E37" s="50"/>
      <c r="F37" s="50"/>
      <c r="G37" s="51"/>
      <c r="H37" s="51"/>
      <c r="I37" s="51"/>
      <c r="J37" s="45"/>
      <c r="K37" s="45"/>
      <c r="L37" s="45"/>
      <c r="M37" s="45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45"/>
      <c r="Z37" s="44"/>
      <c r="AA37" s="44"/>
      <c r="AB37" s="44"/>
      <c r="AC37" s="44"/>
      <c r="AD37" s="44"/>
      <c r="AE37" s="44"/>
      <c r="AF37" s="44"/>
      <c r="AG37" s="44"/>
      <c r="AH37" s="44"/>
    </row>
    <row r="38" spans="1:34" x14ac:dyDescent="0.2">
      <c r="A38" s="20"/>
      <c r="B38" s="20"/>
      <c r="C38" s="20"/>
      <c r="D38" s="20"/>
      <c r="E38" s="50"/>
      <c r="F38" s="50"/>
      <c r="G38" s="51"/>
      <c r="H38" s="51"/>
      <c r="I38" s="51"/>
      <c r="J38" s="44"/>
      <c r="K38" s="44"/>
      <c r="L38" s="44"/>
      <c r="M38" s="44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spans="1:34" x14ac:dyDescent="0.2">
      <c r="A39" s="20"/>
      <c r="B39" s="20"/>
      <c r="C39" s="20"/>
      <c r="D39" s="20"/>
      <c r="E39" s="50"/>
      <c r="F39" s="50"/>
      <c r="G39" s="51"/>
      <c r="H39" s="51"/>
      <c r="I39" s="51"/>
      <c r="J39" s="44"/>
      <c r="K39" s="44"/>
      <c r="L39" s="44"/>
      <c r="M39" s="44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44"/>
      <c r="Z39" s="44"/>
      <c r="AA39" s="44"/>
      <c r="AB39" s="44"/>
      <c r="AC39" s="44"/>
      <c r="AD39" s="44"/>
      <c r="AE39" s="44"/>
      <c r="AF39" s="44"/>
      <c r="AG39" s="44"/>
      <c r="AH39" s="44"/>
    </row>
    <row r="40" spans="1:34" x14ac:dyDescent="0.2">
      <c r="A40" s="20"/>
      <c r="B40" s="20"/>
      <c r="C40" s="20"/>
      <c r="D40" s="20"/>
      <c r="E40" s="50"/>
      <c r="F40" s="50"/>
      <c r="G40" s="51"/>
      <c r="H40" s="51"/>
      <c r="I40" s="51"/>
      <c r="J40" s="44"/>
      <c r="K40" s="44"/>
      <c r="L40" s="44"/>
      <c r="M40" s="44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spans="1:34" x14ac:dyDescent="0.2">
      <c r="A41" s="20"/>
      <c r="B41" s="20"/>
      <c r="C41" s="20"/>
      <c r="D41" s="20"/>
      <c r="E41" s="50"/>
      <c r="F41" s="50"/>
      <c r="G41" s="51"/>
      <c r="H41" s="51"/>
      <c r="I41" s="51"/>
      <c r="J41" s="44"/>
      <c r="K41" s="44"/>
      <c r="L41" s="44"/>
      <c r="M41" s="44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44"/>
      <c r="Z41" s="44"/>
      <c r="AA41" s="44"/>
      <c r="AB41" s="44"/>
      <c r="AC41" s="44"/>
      <c r="AD41" s="44"/>
      <c r="AE41" s="44"/>
      <c r="AF41" s="44"/>
      <c r="AG41" s="44"/>
      <c r="AH41" s="44"/>
    </row>
    <row r="42" spans="1:34" x14ac:dyDescent="0.2">
      <c r="A42" s="20"/>
      <c r="B42" s="20"/>
      <c r="C42" s="20"/>
      <c r="D42" s="20"/>
      <c r="E42" s="50"/>
      <c r="F42" s="50"/>
      <c r="G42" s="51"/>
      <c r="H42" s="51"/>
      <c r="I42" s="51"/>
      <c r="J42" s="44"/>
      <c r="K42" s="44"/>
      <c r="L42" s="44"/>
      <c r="M42" s="44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44"/>
      <c r="Z42" s="44"/>
      <c r="AA42" s="44"/>
      <c r="AB42" s="44"/>
      <c r="AC42" s="44"/>
      <c r="AD42" s="44"/>
      <c r="AE42" s="44"/>
      <c r="AF42" s="44"/>
      <c r="AG42" s="44"/>
      <c r="AH42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F771-7170-CF42-8D62-489FFB29D522}">
  <dimension ref="A1:AN974"/>
  <sheetViews>
    <sheetView topLeftCell="G1" zoomScale="75" workbookViewId="0">
      <selection activeCell="AC37" sqref="AC37"/>
    </sheetView>
  </sheetViews>
  <sheetFormatPr baseColWidth="10" defaultColWidth="12.6640625" defaultRowHeight="16" x14ac:dyDescent="0.2"/>
  <cols>
    <col min="1" max="1" width="1.1640625" customWidth="1"/>
    <col min="2" max="2" width="2.5" customWidth="1"/>
    <col min="3" max="4" width="2.83203125" customWidth="1"/>
    <col min="5" max="5" width="20.83203125" customWidth="1"/>
    <col min="6" max="6" width="11.33203125" bestFit="1" customWidth="1"/>
    <col min="7" max="9" width="10.33203125" bestFit="1" customWidth="1"/>
    <col min="10" max="10" width="11.5" bestFit="1" customWidth="1"/>
    <col min="11" max="14" width="10.33203125" bestFit="1" customWidth="1"/>
    <col min="15" max="15" width="11.5" bestFit="1" customWidth="1"/>
    <col min="16" max="18" width="10.33203125" bestFit="1" customWidth="1"/>
    <col min="19" max="20" width="11.5" bestFit="1" customWidth="1"/>
    <col min="21" max="21" width="10.33203125" bestFit="1" customWidth="1"/>
    <col min="22" max="27" width="11.5" bestFit="1" customWidth="1"/>
    <col min="28" max="28" width="10.83203125" customWidth="1"/>
    <col min="29" max="33" width="11.5" bestFit="1" customWidth="1"/>
    <col min="34" max="35" width="12.83203125" bestFit="1" customWidth="1"/>
  </cols>
  <sheetData>
    <row r="1" spans="1:40" ht="15.75" customHeight="1" x14ac:dyDescent="0.2">
      <c r="A1" s="54" t="s">
        <v>62</v>
      </c>
      <c r="B1" s="1"/>
      <c r="C1" s="1"/>
      <c r="D1" s="1"/>
      <c r="E1" s="1"/>
      <c r="F1" s="55" t="s">
        <v>63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40" ht="15.75" customHeight="1" x14ac:dyDescent="0.2">
      <c r="A2" s="54"/>
      <c r="B2" s="1"/>
      <c r="C2" s="1"/>
      <c r="D2" s="1"/>
      <c r="E2" s="1"/>
      <c r="F2" s="14"/>
      <c r="G2" s="14" t="s">
        <v>3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5"/>
      <c r="AC2" s="15" t="s">
        <v>4</v>
      </c>
      <c r="AD2" s="15"/>
      <c r="AE2" s="15"/>
      <c r="AF2" s="15"/>
      <c r="AG2" s="15"/>
      <c r="AH2" s="15"/>
      <c r="AI2" s="15"/>
    </row>
    <row r="3" spans="1:40" ht="15.75" customHeight="1" thickBot="1" x14ac:dyDescent="0.25">
      <c r="A3" s="5"/>
      <c r="B3" s="5"/>
      <c r="C3" s="5"/>
      <c r="D3" s="5"/>
      <c r="E3" s="5"/>
      <c r="F3" s="18" t="s">
        <v>31</v>
      </c>
      <c r="G3" s="18" t="s">
        <v>32</v>
      </c>
      <c r="H3" s="18" t="s">
        <v>33</v>
      </c>
      <c r="I3" s="18" t="s">
        <v>34</v>
      </c>
      <c r="J3" s="12" t="s">
        <v>35</v>
      </c>
      <c r="K3" s="18" t="s">
        <v>5</v>
      </c>
      <c r="L3" s="18" t="s">
        <v>6</v>
      </c>
      <c r="M3" s="18" t="s">
        <v>7</v>
      </c>
      <c r="N3" s="18" t="s">
        <v>8</v>
      </c>
      <c r="O3" s="12" t="s">
        <v>9</v>
      </c>
      <c r="P3" s="18" t="s">
        <v>10</v>
      </c>
      <c r="Q3" s="18" t="s">
        <v>11</v>
      </c>
      <c r="R3" s="18" t="s">
        <v>12</v>
      </c>
      <c r="S3" s="18" t="s">
        <v>13</v>
      </c>
      <c r="T3" s="12" t="s">
        <v>14</v>
      </c>
      <c r="U3" s="18" t="s">
        <v>15</v>
      </c>
      <c r="V3" s="18" t="s">
        <v>16</v>
      </c>
      <c r="W3" s="18" t="s">
        <v>17</v>
      </c>
      <c r="X3" s="18" t="s">
        <v>18</v>
      </c>
      <c r="Y3" s="12" t="s">
        <v>19</v>
      </c>
      <c r="Z3" s="18" t="s">
        <v>20</v>
      </c>
      <c r="AA3" s="18" t="s">
        <v>21</v>
      </c>
      <c r="AB3" s="18" t="s">
        <v>22</v>
      </c>
      <c r="AC3" s="18" t="s">
        <v>23</v>
      </c>
      <c r="AD3" s="12" t="s">
        <v>24</v>
      </c>
      <c r="AE3" s="12" t="s">
        <v>25</v>
      </c>
      <c r="AF3" s="12" t="s">
        <v>26</v>
      </c>
      <c r="AG3" s="12" t="s">
        <v>27</v>
      </c>
      <c r="AH3" s="12" t="s">
        <v>28</v>
      </c>
      <c r="AI3" s="12" t="s">
        <v>37</v>
      </c>
    </row>
    <row r="4" spans="1:40" s="77" customFormat="1" ht="15.75" customHeight="1" x14ac:dyDescent="0.2">
      <c r="A4" s="3"/>
      <c r="B4" s="2"/>
      <c r="C4" s="2"/>
      <c r="D4" s="2"/>
      <c r="E4" s="79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</row>
    <row r="5" spans="1:40" ht="15.75" customHeight="1" thickBot="1" x14ac:dyDescent="0.25">
      <c r="A5" s="8"/>
      <c r="B5" s="9" t="s">
        <v>48</v>
      </c>
      <c r="C5" s="57"/>
      <c r="D5" s="9"/>
      <c r="E5" s="70"/>
      <c r="F5" s="61">
        <f>'Revenue Build'!E31</f>
        <v>33804</v>
      </c>
      <c r="G5" s="61">
        <f>'Revenue Build'!F31</f>
        <v>33041</v>
      </c>
      <c r="H5" s="61">
        <f>'Revenue Build'!G31</f>
        <v>35622</v>
      </c>
      <c r="I5" s="61">
        <f>'Revenue Build'!H31</f>
        <v>38333</v>
      </c>
      <c r="J5" s="61">
        <f>'Revenue Build'!I31</f>
        <v>140800</v>
      </c>
      <c r="K5" s="61">
        <f>'Revenue Build'!J31</f>
        <v>42031</v>
      </c>
      <c r="L5" s="61">
        <f>'Revenue Build'!K31</f>
        <v>41265</v>
      </c>
      <c r="M5" s="61">
        <f>'Revenue Build'!L31</f>
        <v>45566</v>
      </c>
      <c r="N5" s="61">
        <f>'Revenue Build'!M31</f>
        <v>48092</v>
      </c>
      <c r="O5" s="61">
        <f>'Revenue Build'!N31</f>
        <v>176953</v>
      </c>
      <c r="P5" s="61">
        <f>'Revenue Build'!O31</f>
        <v>53367</v>
      </c>
      <c r="Q5" s="61">
        <f>'Revenue Build'!P31</f>
        <v>54300</v>
      </c>
      <c r="R5" s="61">
        <f>'Revenue Build'!Q31</f>
        <v>58731</v>
      </c>
      <c r="S5" s="61">
        <f>'Revenue Build'!R31</f>
        <v>65863</v>
      </c>
      <c r="T5" s="61">
        <f>'Revenue Build'!S31</f>
        <v>232261</v>
      </c>
      <c r="U5" s="61">
        <f>'Revenue Build'!T31</f>
        <v>65349</v>
      </c>
      <c r="V5" s="61">
        <f>'Revenue Build'!U31</f>
        <v>68058</v>
      </c>
      <c r="W5" s="61">
        <f>'Revenue Build'!V31</f>
        <v>71304</v>
      </c>
      <c r="X5" s="61">
        <f>'Revenue Build'!W31</f>
        <v>85673</v>
      </c>
      <c r="Y5" s="61">
        <f>'Revenue Build'!X31</f>
        <v>290384</v>
      </c>
      <c r="Z5" s="61">
        <f>'Revenue Build'!Y31</f>
        <v>80150.14</v>
      </c>
      <c r="AA5" s="61">
        <f>'Revenue Build'!Z31</f>
        <v>85318.99</v>
      </c>
      <c r="AB5" s="61">
        <f>'Revenue Build'!AA31</f>
        <v>90446.328179999982</v>
      </c>
      <c r="AC5" s="61">
        <f>'Revenue Build'!AB31</f>
        <v>97513.528179999994</v>
      </c>
      <c r="AD5" s="61">
        <f>SUM(Z5:AC5)</f>
        <v>353428.98635999998</v>
      </c>
      <c r="AE5" s="61">
        <f>'Revenue Build'!AD31</f>
        <v>407454.09462000005</v>
      </c>
      <c r="AF5" s="61">
        <f>'Revenue Build'!AE31</f>
        <v>435853.88793700002</v>
      </c>
      <c r="AG5" s="61">
        <f>'Revenue Build'!AF31</f>
        <v>451420.02313894994</v>
      </c>
      <c r="AH5" s="61">
        <f>'Revenue Build'!AG31</f>
        <v>471429.59198554431</v>
      </c>
      <c r="AI5" s="61">
        <f>'Revenue Build'!AH31</f>
        <v>506111.19015535078</v>
      </c>
      <c r="AJ5" s="21"/>
    </row>
    <row r="6" spans="1:40" ht="15.75" customHeight="1" thickTop="1" x14ac:dyDescent="0.2">
      <c r="A6" s="3"/>
      <c r="B6" s="7"/>
      <c r="C6" s="7"/>
      <c r="D6" s="8" t="s">
        <v>29</v>
      </c>
      <c r="E6" s="71"/>
      <c r="F6" s="21"/>
      <c r="G6" s="62"/>
      <c r="H6" s="21"/>
      <c r="I6" s="21"/>
      <c r="J6" s="21"/>
      <c r="K6" s="62">
        <f t="shared" ref="K6" si="0">K5/F5-1</f>
        <v>0.24337356525854936</v>
      </c>
      <c r="L6" s="62">
        <f t="shared" ref="L6" si="1">L5/G5-1</f>
        <v>0.24890287824218404</v>
      </c>
      <c r="M6" s="62">
        <f t="shared" ref="M6" si="2">M5/H5-1</f>
        <v>0.27915333221043181</v>
      </c>
      <c r="N6" s="62">
        <f t="shared" ref="N6" si="3">N5/I5-1</f>
        <v>0.2545848224767171</v>
      </c>
      <c r="O6" s="62">
        <f t="shared" ref="O6" si="4">O5/J5-1</f>
        <v>0.25676846590909097</v>
      </c>
      <c r="P6" s="62">
        <f t="shared" ref="P6:Z6" si="5">P5/K5-1</f>
        <v>0.26970569341676387</v>
      </c>
      <c r="Q6" s="62">
        <f t="shared" si="5"/>
        <v>0.31588513267902574</v>
      </c>
      <c r="R6" s="62">
        <f t="shared" si="5"/>
        <v>0.28892156432427685</v>
      </c>
      <c r="S6" s="62">
        <f t="shared" si="5"/>
        <v>0.36952091824003985</v>
      </c>
      <c r="T6" s="62">
        <f t="shared" si="5"/>
        <v>0.31255757178459809</v>
      </c>
      <c r="U6" s="62">
        <f t="shared" si="5"/>
        <v>0.22452077126314007</v>
      </c>
      <c r="V6" s="62">
        <f t="shared" si="5"/>
        <v>0.25337016574585625</v>
      </c>
      <c r="W6" s="62">
        <f t="shared" si="5"/>
        <v>0.21407774429177095</v>
      </c>
      <c r="X6" s="62">
        <f t="shared" si="5"/>
        <v>0.30077585290679143</v>
      </c>
      <c r="Y6" s="62">
        <f t="shared" si="5"/>
        <v>0.25024864269076597</v>
      </c>
      <c r="Z6" s="62">
        <f t="shared" si="5"/>
        <v>0.22649374894795637</v>
      </c>
      <c r="AA6" s="62">
        <f t="shared" ref="AA6" si="6">AA5/V5-1</f>
        <v>0.25362176378970891</v>
      </c>
      <c r="AB6" s="62">
        <f t="shared" ref="AB6" si="7">AB5/W5-1</f>
        <v>0.2684607901380005</v>
      </c>
      <c r="AC6" s="62">
        <f t="shared" ref="AC6:AE6" si="8">AC5/X5-1</f>
        <v>0.13820606468782448</v>
      </c>
      <c r="AD6" s="62">
        <f t="shared" si="8"/>
        <v>0.21710902239792818</v>
      </c>
      <c r="AE6" s="62">
        <f>AE5/AD5-1</f>
        <v>0.15285986816307839</v>
      </c>
      <c r="AF6" s="62">
        <f t="shared" ref="AF6:AI6" si="9">AF5/AE5-1</f>
        <v>6.9700596194735009E-2</v>
      </c>
      <c r="AG6" s="62">
        <f t="shared" si="9"/>
        <v>3.5714113451248863E-2</v>
      </c>
      <c r="AH6" s="62">
        <f t="shared" si="9"/>
        <v>4.4325833638166445E-2</v>
      </c>
      <c r="AI6" s="62">
        <f t="shared" si="9"/>
        <v>7.35668671619365E-2</v>
      </c>
      <c r="AJ6" s="21"/>
    </row>
    <row r="7" spans="1:40" ht="15.75" customHeight="1" x14ac:dyDescent="0.2">
      <c r="A7" s="8"/>
      <c r="B7" s="2"/>
      <c r="C7" s="2"/>
      <c r="D7" s="2"/>
      <c r="E7" s="72"/>
      <c r="F7" s="21"/>
      <c r="G7" s="21"/>
      <c r="H7" s="21"/>
      <c r="I7" s="21"/>
      <c r="J7" s="2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21"/>
    </row>
    <row r="8" spans="1:40" ht="15.75" customHeight="1" x14ac:dyDescent="0.2">
      <c r="A8" s="56"/>
      <c r="B8" s="59" t="s">
        <v>64</v>
      </c>
      <c r="C8" s="59"/>
      <c r="D8" s="60"/>
      <c r="E8" s="73"/>
      <c r="F8" s="81">
        <f>'Cost Build'!E5</f>
        <v>5811</v>
      </c>
      <c r="G8" s="81">
        <f>'Cost Build'!F5</f>
        <v>5547</v>
      </c>
      <c r="H8" s="81">
        <f>'Cost Build'!G5</f>
        <v>6059</v>
      </c>
      <c r="I8" s="81">
        <f>'Cost Build'!H5</f>
        <v>6241</v>
      </c>
      <c r="J8" s="81">
        <f>'Cost Build'!I5</f>
        <v>23658</v>
      </c>
      <c r="K8" s="81">
        <f>'Cost Build'!J5</f>
        <v>6917</v>
      </c>
      <c r="L8" s="81">
        <f>'Cost Build'!K5</f>
        <v>6069</v>
      </c>
      <c r="M8" s="81">
        <f>'Cost Build'!L5</f>
        <v>7200</v>
      </c>
      <c r="N8" s="81">
        <f>'Cost Build'!M5</f>
        <v>8262</v>
      </c>
      <c r="O8" s="81">
        <f>'Cost Build'!N5</f>
        <v>28448</v>
      </c>
      <c r="P8" s="81">
        <f>'Cost Build'!O5</f>
        <v>8182</v>
      </c>
      <c r="Q8" s="81">
        <f>'Cost Build'!P5</f>
        <v>7856</v>
      </c>
      <c r="R8" s="81">
        <f>'Cost Build'!Q5</f>
        <v>9713</v>
      </c>
      <c r="S8" s="81">
        <f>'Cost Build'!R5</f>
        <v>10014</v>
      </c>
      <c r="T8" s="81">
        <f>'Cost Build'!S5</f>
        <v>35765</v>
      </c>
      <c r="U8" s="81">
        <f>'Cost Build'!T5</f>
        <v>9916</v>
      </c>
      <c r="V8" s="81">
        <f>'Cost Build'!U5</f>
        <v>10274</v>
      </c>
      <c r="W8" s="81">
        <f>'Cost Build'!V5</f>
        <v>11308</v>
      </c>
      <c r="X8" s="81">
        <f>'Cost Build'!W5</f>
        <v>13024</v>
      </c>
      <c r="Y8" s="81">
        <f>'Cost Build'!X5</f>
        <v>44522</v>
      </c>
      <c r="Z8" s="81">
        <f>'Cost Build'!Y5</f>
        <v>11702.970000000001</v>
      </c>
      <c r="AA8" s="81">
        <f>'Cost Build'!Z5</f>
        <v>12392.729800000001</v>
      </c>
      <c r="AB8" s="81">
        <f>'Cost Build'!AA5</f>
        <v>13566.949226999997</v>
      </c>
      <c r="AC8" s="81">
        <f>'Cost Build'!AB5</f>
        <v>14627.029226999999</v>
      </c>
      <c r="AD8" s="81">
        <f>SUM(Z8:AC8)</f>
        <v>52289.678253999999</v>
      </c>
      <c r="AE8" s="81">
        <f>'Cost Build'!AD5</f>
        <v>61118.114193000001</v>
      </c>
      <c r="AF8" s="81">
        <f>'Cost Build'!AE5</f>
        <v>65378.083190550002</v>
      </c>
      <c r="AG8" s="81">
        <f>'Cost Build'!AF5</f>
        <v>67713.003470842494</v>
      </c>
      <c r="AH8" s="81">
        <f>'Cost Build'!AG5</f>
        <v>70714.438797831637</v>
      </c>
      <c r="AI8" s="81">
        <f>'Cost Build'!AH5</f>
        <v>75916.678523302617</v>
      </c>
      <c r="AJ8" s="21"/>
    </row>
    <row r="9" spans="1:40" ht="15.75" customHeight="1" x14ac:dyDescent="0.2">
      <c r="A9" s="8"/>
      <c r="B9" s="2"/>
      <c r="C9" s="2" t="s">
        <v>65</v>
      </c>
      <c r="D9" s="2"/>
      <c r="E9" s="72"/>
      <c r="F9" s="76">
        <f>F8/F5</f>
        <v>0.17190273340433085</v>
      </c>
      <c r="G9" s="76">
        <f t="shared" ref="G9:AI9" si="10">G8/G5</f>
        <v>0.16788232801670652</v>
      </c>
      <c r="H9" s="76">
        <f t="shared" si="10"/>
        <v>0.17009151647858065</v>
      </c>
      <c r="I9" s="76">
        <f t="shared" si="10"/>
        <v>0.16281011139227297</v>
      </c>
      <c r="J9" s="76">
        <f t="shared" si="10"/>
        <v>0.16802556818181819</v>
      </c>
      <c r="K9" s="76">
        <f t="shared" si="10"/>
        <v>0.16456900858889867</v>
      </c>
      <c r="L9" s="76">
        <f t="shared" si="10"/>
        <v>0.14707379134860052</v>
      </c>
      <c r="M9" s="76">
        <f t="shared" si="10"/>
        <v>0.15801255321950577</v>
      </c>
      <c r="N9" s="76">
        <f t="shared" si="10"/>
        <v>0.1717957248606837</v>
      </c>
      <c r="O9" s="76">
        <f t="shared" si="10"/>
        <v>0.16076585307963132</v>
      </c>
      <c r="P9" s="76">
        <f t="shared" si="10"/>
        <v>0.15331571945209588</v>
      </c>
      <c r="Q9" s="76">
        <f t="shared" si="10"/>
        <v>0.14467771639042357</v>
      </c>
      <c r="R9" s="76">
        <f t="shared" si="10"/>
        <v>0.16538114454036199</v>
      </c>
      <c r="S9" s="76">
        <f t="shared" si="10"/>
        <v>0.15204287688079801</v>
      </c>
      <c r="T9" s="76">
        <f t="shared" si="10"/>
        <v>0.15398624822936266</v>
      </c>
      <c r="U9" s="76">
        <f t="shared" si="10"/>
        <v>0.15173912378154217</v>
      </c>
      <c r="V9" s="76">
        <f t="shared" si="10"/>
        <v>0.15095947574127949</v>
      </c>
      <c r="W9" s="76">
        <f t="shared" si="10"/>
        <v>0.15858857848087063</v>
      </c>
      <c r="X9" s="76">
        <f t="shared" si="10"/>
        <v>0.15201988958014778</v>
      </c>
      <c r="Y9" s="76">
        <f t="shared" si="10"/>
        <v>0.15332111962091574</v>
      </c>
      <c r="Z9" s="76">
        <f t="shared" si="10"/>
        <v>0.14601309492410122</v>
      </c>
      <c r="AA9" s="76">
        <f t="shared" ref="AA9" si="11">AA8/AA5</f>
        <v>0.14525171711479473</v>
      </c>
      <c r="AB9" s="76">
        <f t="shared" ref="AB9" si="12">AB8/AB5</f>
        <v>0.15</v>
      </c>
      <c r="AC9" s="76">
        <f t="shared" ref="AC9" si="13">AC8/AC5</f>
        <v>0.15</v>
      </c>
      <c r="AD9" s="76">
        <f t="shared" ref="AD9" si="14">AD8/AD5</f>
        <v>0.14794960309434876</v>
      </c>
      <c r="AE9" s="76">
        <f t="shared" ref="AE9" si="15">AE8/AE5</f>
        <v>0.15</v>
      </c>
      <c r="AF9" s="76">
        <f t="shared" ref="AF9" si="16">AF8/AF5</f>
        <v>0.15</v>
      </c>
      <c r="AG9" s="76">
        <f t="shared" ref="AG9" si="17">AG8/AG5</f>
        <v>0.15</v>
      </c>
      <c r="AH9" s="76">
        <f t="shared" ref="AH9" si="18">AH8/AH5</f>
        <v>0.15</v>
      </c>
      <c r="AI9" s="76">
        <f t="shared" ref="AI9" si="19">AI8/AI5</f>
        <v>0.15</v>
      </c>
      <c r="AJ9" s="64"/>
      <c r="AK9" s="64"/>
      <c r="AL9" s="64"/>
      <c r="AM9" s="64"/>
      <c r="AN9" s="64"/>
    </row>
    <row r="10" spans="1:40" ht="15.75" customHeight="1" x14ac:dyDescent="0.2">
      <c r="A10" s="3"/>
      <c r="B10" s="2"/>
      <c r="C10" s="2"/>
      <c r="D10" s="2"/>
      <c r="E10" s="72"/>
      <c r="F10" s="21"/>
      <c r="G10" s="21"/>
      <c r="H10" s="21"/>
      <c r="W10" s="64"/>
      <c r="X10" s="64"/>
      <c r="Y10" s="64"/>
      <c r="Z10" s="64"/>
      <c r="AA10" s="21"/>
      <c r="AB10" s="21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</row>
    <row r="11" spans="1:40" ht="15.75" customHeight="1" x14ac:dyDescent="0.2">
      <c r="A11" s="3"/>
      <c r="B11" s="59" t="s">
        <v>66</v>
      </c>
      <c r="C11" s="59"/>
      <c r="D11" s="60"/>
      <c r="E11" s="73"/>
      <c r="F11" s="82">
        <f>F5-F8</f>
        <v>27993</v>
      </c>
      <c r="G11" s="82">
        <f t="shared" ref="G11:AI11" si="20">G5-G8</f>
        <v>27494</v>
      </c>
      <c r="H11" s="82">
        <f t="shared" si="20"/>
        <v>29563</v>
      </c>
      <c r="I11" s="82">
        <f t="shared" si="20"/>
        <v>32092</v>
      </c>
      <c r="J11" s="82">
        <f t="shared" si="20"/>
        <v>117142</v>
      </c>
      <c r="K11" s="82">
        <f t="shared" si="20"/>
        <v>35114</v>
      </c>
      <c r="L11" s="82">
        <f t="shared" si="20"/>
        <v>35196</v>
      </c>
      <c r="M11" s="82">
        <f t="shared" si="20"/>
        <v>38366</v>
      </c>
      <c r="N11" s="82">
        <f t="shared" si="20"/>
        <v>39830</v>
      </c>
      <c r="O11" s="82">
        <f t="shared" si="20"/>
        <v>148505</v>
      </c>
      <c r="P11" s="82">
        <f t="shared" si="20"/>
        <v>45185</v>
      </c>
      <c r="Q11" s="82">
        <f t="shared" si="20"/>
        <v>46444</v>
      </c>
      <c r="R11" s="82">
        <f t="shared" si="20"/>
        <v>49018</v>
      </c>
      <c r="S11" s="82">
        <f t="shared" si="20"/>
        <v>55849</v>
      </c>
      <c r="T11" s="82">
        <f t="shared" si="20"/>
        <v>196496</v>
      </c>
      <c r="U11" s="82">
        <f t="shared" si="20"/>
        <v>55433</v>
      </c>
      <c r="V11" s="82">
        <f t="shared" si="20"/>
        <v>57784</v>
      </c>
      <c r="W11" s="82">
        <f t="shared" si="20"/>
        <v>59996</v>
      </c>
      <c r="X11" s="82">
        <f t="shared" si="20"/>
        <v>72649</v>
      </c>
      <c r="Y11" s="82">
        <f t="shared" si="20"/>
        <v>245862</v>
      </c>
      <c r="Z11" s="82">
        <f t="shared" si="20"/>
        <v>68447.17</v>
      </c>
      <c r="AA11" s="82">
        <f t="shared" si="20"/>
        <v>72926.260200000004</v>
      </c>
      <c r="AB11" s="82">
        <f t="shared" si="20"/>
        <v>76879.378952999978</v>
      </c>
      <c r="AC11" s="82">
        <f t="shared" si="20"/>
        <v>82886.498953000002</v>
      </c>
      <c r="AD11" s="82">
        <f>SUM(Z11:AC11)</f>
        <v>301139.30810599995</v>
      </c>
      <c r="AE11" s="82">
        <f t="shared" si="20"/>
        <v>346335.98042700003</v>
      </c>
      <c r="AF11" s="82">
        <f t="shared" si="20"/>
        <v>370475.80474645004</v>
      </c>
      <c r="AG11" s="82">
        <f t="shared" si="20"/>
        <v>383707.01966810744</v>
      </c>
      <c r="AH11" s="82">
        <f t="shared" si="20"/>
        <v>400715.15318771265</v>
      </c>
      <c r="AI11" s="82">
        <f t="shared" si="20"/>
        <v>430194.51163204818</v>
      </c>
      <c r="AJ11" s="65"/>
      <c r="AK11" s="65"/>
      <c r="AL11" s="65"/>
      <c r="AM11" s="65"/>
      <c r="AN11" s="65"/>
    </row>
    <row r="12" spans="1:40" ht="15.75" customHeight="1" x14ac:dyDescent="0.2">
      <c r="A12" s="3"/>
      <c r="B12" s="7"/>
      <c r="C12" s="8" t="s">
        <v>29</v>
      </c>
      <c r="D12" s="8"/>
      <c r="E12" s="71"/>
      <c r="F12" s="21"/>
      <c r="G12" s="21"/>
      <c r="H12" s="21"/>
      <c r="K12" s="62">
        <f>K11/F11-1</f>
        <v>0.25438502482763559</v>
      </c>
      <c r="L12" s="62">
        <f t="shared" ref="L12" si="21">L11/G11-1</f>
        <v>0.280133847384884</v>
      </c>
      <c r="M12" s="62">
        <f t="shared" ref="M12" si="22">M11/H11-1</f>
        <v>0.29777086222643168</v>
      </c>
      <c r="N12" s="62">
        <f t="shared" ref="N12" si="23">N11/I11-1</f>
        <v>0.24111928206406574</v>
      </c>
      <c r="O12" s="62">
        <f t="shared" ref="O12" si="24">O11/J11-1</f>
        <v>0.26773488586501859</v>
      </c>
      <c r="P12" s="62">
        <f t="shared" ref="P12" si="25">P11/K11-1</f>
        <v>0.28680868029845641</v>
      </c>
      <c r="Q12" s="62">
        <f t="shared" ref="Q12" si="26">Q11/L11-1</f>
        <v>0.31958177065575644</v>
      </c>
      <c r="R12" s="62">
        <f t="shared" ref="R12" si="27">R11/M11-1</f>
        <v>0.27764166188813011</v>
      </c>
      <c r="S12" s="62">
        <f t="shared" ref="S12" si="28">S11/N11-1</f>
        <v>0.40218428320361532</v>
      </c>
      <c r="T12" s="62">
        <f t="shared" ref="T12" si="29">T11/O11-1</f>
        <v>0.32316083633547699</v>
      </c>
      <c r="U12" s="62">
        <f t="shared" ref="U12" si="30">U11/P11-1</f>
        <v>0.22680092951200614</v>
      </c>
      <c r="V12" s="62">
        <f t="shared" ref="V12" si="31">V11/Q11-1</f>
        <v>0.24416501593316675</v>
      </c>
      <c r="W12" s="62">
        <f t="shared" ref="W12" si="32">W11/R11-1</f>
        <v>0.2239585458403035</v>
      </c>
      <c r="X12" s="62">
        <f t="shared" ref="X12" si="33">X11/S11-1</f>
        <v>0.30081111568694152</v>
      </c>
      <c r="Y12" s="62">
        <f t="shared" ref="Y12" si="34">Y11/T11-1</f>
        <v>0.25123157723312439</v>
      </c>
      <c r="Z12" s="62">
        <f t="shared" ref="Z12" si="35">Z11/U11-1</f>
        <v>0.23477296916998891</v>
      </c>
      <c r="AA12" s="62">
        <f t="shared" ref="AA12" si="36">AA11/V11-1</f>
        <v>0.26204935968434184</v>
      </c>
      <c r="AB12" s="62">
        <f t="shared" ref="AB12" si="37">AB11/W11-1</f>
        <v>0.28140840977731818</v>
      </c>
      <c r="AC12" s="62">
        <f t="shared" ref="AC12" si="38">AC11/X11-1</f>
        <v>0.14091727281862099</v>
      </c>
      <c r="AD12" s="62">
        <f t="shared" ref="AD12" si="39">AD11/Y11-1</f>
        <v>0.22483062899512718</v>
      </c>
      <c r="AE12" s="62">
        <f>AE11/AD11-1</f>
        <v>0.15008559528565768</v>
      </c>
      <c r="AF12" s="62">
        <f t="shared" ref="AF12" si="40">AF11/AE11-1</f>
        <v>6.9700596194735009E-2</v>
      </c>
      <c r="AG12" s="62">
        <f t="shared" ref="AG12" si="41">AG11/AF11-1</f>
        <v>3.5714113451248863E-2</v>
      </c>
      <c r="AH12" s="62">
        <f t="shared" ref="AH12" si="42">AH11/AG11-1</f>
        <v>4.4325833638166445E-2</v>
      </c>
      <c r="AI12" s="62">
        <f t="shared" ref="AI12" si="43">AI11/AH11-1</f>
        <v>7.35668671619365E-2</v>
      </c>
      <c r="AJ12" s="62"/>
      <c r="AK12" s="62"/>
      <c r="AL12" s="62"/>
      <c r="AM12" s="62"/>
      <c r="AN12" s="62"/>
    </row>
    <row r="13" spans="1:40" ht="15.75" customHeight="1" x14ac:dyDescent="0.2">
      <c r="A13" s="3"/>
      <c r="B13" s="2"/>
      <c r="C13" s="2" t="s">
        <v>67</v>
      </c>
      <c r="D13" s="2"/>
      <c r="E13" s="72"/>
      <c r="F13" s="76">
        <f>F11/F5</f>
        <v>0.82809726659566918</v>
      </c>
      <c r="G13" s="76">
        <f t="shared" ref="G13:AI13" si="44">G11/G5</f>
        <v>0.83211767198329345</v>
      </c>
      <c r="H13" s="76">
        <f t="shared" si="44"/>
        <v>0.82990848352141933</v>
      </c>
      <c r="I13" s="76">
        <f t="shared" si="44"/>
        <v>0.83718988860772703</v>
      </c>
      <c r="J13" s="76">
        <f t="shared" si="44"/>
        <v>0.83197443181818187</v>
      </c>
      <c r="K13" s="76">
        <f t="shared" si="44"/>
        <v>0.83543099141110133</v>
      </c>
      <c r="L13" s="76">
        <f t="shared" si="44"/>
        <v>0.85292620865139945</v>
      </c>
      <c r="M13" s="76">
        <f t="shared" si="44"/>
        <v>0.8419874467804942</v>
      </c>
      <c r="N13" s="76">
        <f t="shared" si="44"/>
        <v>0.82820427513931627</v>
      </c>
      <c r="O13" s="76">
        <f t="shared" si="44"/>
        <v>0.83923414692036868</v>
      </c>
      <c r="P13" s="76">
        <f t="shared" si="44"/>
        <v>0.84668428054790412</v>
      </c>
      <c r="Q13" s="76">
        <f t="shared" si="44"/>
        <v>0.85532228360957641</v>
      </c>
      <c r="R13" s="76">
        <f t="shared" si="44"/>
        <v>0.83461885545963799</v>
      </c>
      <c r="S13" s="76">
        <f t="shared" si="44"/>
        <v>0.84795712311920202</v>
      </c>
      <c r="T13" s="76">
        <f t="shared" si="44"/>
        <v>0.84601375177063731</v>
      </c>
      <c r="U13" s="76">
        <f t="shared" si="44"/>
        <v>0.8482608762184578</v>
      </c>
      <c r="V13" s="76">
        <f t="shared" si="44"/>
        <v>0.84904052425872045</v>
      </c>
      <c r="W13" s="76">
        <f t="shared" si="44"/>
        <v>0.8414114215191294</v>
      </c>
      <c r="X13" s="76">
        <f t="shared" si="44"/>
        <v>0.84798011041985222</v>
      </c>
      <c r="Y13" s="76">
        <f t="shared" si="44"/>
        <v>0.84667888037908423</v>
      </c>
      <c r="Z13" s="76">
        <f t="shared" si="44"/>
        <v>0.85398690507589881</v>
      </c>
      <c r="AA13" s="76">
        <f t="shared" si="44"/>
        <v>0.85474828288520532</v>
      </c>
      <c r="AB13" s="76">
        <f t="shared" si="44"/>
        <v>0.84999999999999987</v>
      </c>
      <c r="AC13" s="76">
        <f t="shared" si="44"/>
        <v>0.85000000000000009</v>
      </c>
      <c r="AD13" s="76">
        <f t="shared" si="44"/>
        <v>0.85205039690565121</v>
      </c>
      <c r="AE13" s="76">
        <f t="shared" si="44"/>
        <v>0.85</v>
      </c>
      <c r="AF13" s="76">
        <f t="shared" si="44"/>
        <v>0.85000000000000009</v>
      </c>
      <c r="AG13" s="76">
        <f t="shared" si="44"/>
        <v>0.85</v>
      </c>
      <c r="AH13" s="76">
        <f t="shared" si="44"/>
        <v>0.85</v>
      </c>
      <c r="AI13" s="76">
        <f t="shared" si="44"/>
        <v>0.85</v>
      </c>
      <c r="AJ13" s="64"/>
      <c r="AK13" s="64"/>
      <c r="AL13" s="64"/>
      <c r="AM13" s="64"/>
      <c r="AN13" s="64"/>
    </row>
    <row r="14" spans="1:40" ht="15.75" customHeight="1" x14ac:dyDescent="0.2">
      <c r="A14" s="3"/>
      <c r="B14" s="2"/>
      <c r="C14" s="2"/>
      <c r="D14" s="2"/>
      <c r="E14" s="72"/>
      <c r="F14" s="21"/>
      <c r="G14" s="21"/>
      <c r="H14" s="21"/>
      <c r="W14" s="63"/>
      <c r="X14" s="63"/>
      <c r="Y14" s="63"/>
      <c r="Z14" s="63"/>
      <c r="AA14" s="21"/>
      <c r="AB14" s="21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</row>
    <row r="15" spans="1:40" ht="15.75" customHeight="1" x14ac:dyDescent="0.2">
      <c r="A15" s="8"/>
      <c r="B15" s="59" t="s">
        <v>68</v>
      </c>
      <c r="C15" s="59"/>
      <c r="D15" s="60"/>
      <c r="E15" s="73"/>
      <c r="F15" s="81">
        <f>SUM('Cost Build'!E7,'Cost Build'!E9,'Cost Build'!E11)</f>
        <v>13011</v>
      </c>
      <c r="G15" s="81">
        <f>SUM('Cost Build'!F7,'Cost Build'!F9,'Cost Build'!F11)</f>
        <v>12715</v>
      </c>
      <c r="H15" s="81">
        <f>SUM('Cost Build'!G7,'Cost Build'!G9,'Cost Build'!G11)</f>
        <v>14314</v>
      </c>
      <c r="I15" s="81">
        <f>SUM('Cost Build'!H7,'Cost Build'!H9,'Cost Build'!H11)</f>
        <v>18458</v>
      </c>
      <c r="J15" s="81">
        <f>SUM('Cost Build'!I7,'Cost Build'!I9,'Cost Build'!I11)</f>
        <v>58498</v>
      </c>
      <c r="K15" s="81">
        <f>SUM('Cost Build'!J7,'Cost Build'!J9,'Cost Build'!J11)</f>
        <v>15967</v>
      </c>
      <c r="L15" s="81">
        <f>SUM('Cost Build'!K7,'Cost Build'!K9,'Cost Build'!K11)</f>
        <v>16805</v>
      </c>
      <c r="M15" s="81">
        <f>SUM('Cost Build'!L7,'Cost Build'!L9,'Cost Build'!L11)</f>
        <v>18182</v>
      </c>
      <c r="N15" s="81">
        <f>SUM('Cost Build'!M7,'Cost Build'!M9,'Cost Build'!M11)</f>
        <v>22743</v>
      </c>
      <c r="O15" s="81">
        <f>SUM('Cost Build'!N7,'Cost Build'!N9,'Cost Build'!N11)</f>
        <v>73697</v>
      </c>
      <c r="P15" s="81">
        <f>SUM('Cost Build'!O7,'Cost Build'!O9,'Cost Build'!O11)</f>
        <v>20178</v>
      </c>
      <c r="Q15" s="81">
        <f>SUM('Cost Build'!P7,'Cost Build'!P9,'Cost Build'!P11)</f>
        <v>22556</v>
      </c>
      <c r="R15" s="81">
        <f>SUM('Cost Build'!Q7,'Cost Build'!Q9,'Cost Build'!Q11)</f>
        <v>22105</v>
      </c>
      <c r="S15" s="81">
        <f>SUM('Cost Build'!R7,'Cost Build'!R9,'Cost Build'!R11)</f>
        <v>29083</v>
      </c>
      <c r="T15" s="81">
        <f>SUM('Cost Build'!S7,'Cost Build'!S9,'Cost Build'!S11)</f>
        <v>93922</v>
      </c>
      <c r="U15" s="81">
        <f>SUM('Cost Build'!T7,'Cost Build'!T9,'Cost Build'!T11)</f>
        <v>23587</v>
      </c>
      <c r="V15" s="81">
        <f>SUM('Cost Build'!U7,'Cost Build'!U9,'Cost Build'!U11)</f>
        <v>31852</v>
      </c>
      <c r="W15" s="81">
        <f>SUM('Cost Build'!V7,'Cost Build'!V9,'Cost Build'!V11)</f>
        <v>26181</v>
      </c>
      <c r="X15" s="81">
        <f>SUM('Cost Build'!W7,'Cost Build'!W9,'Cost Build'!W11)</f>
        <v>35922</v>
      </c>
      <c r="Y15" s="81">
        <f>SUM('Cost Build'!X7,'Cost Build'!X9,'Cost Build'!X11)</f>
        <v>117542</v>
      </c>
      <c r="Z15" s="81">
        <f>SUM('Cost Build'!Y7,'Cost Build'!Y9,'Cost Build'!Y11)</f>
        <v>31589.473140000002</v>
      </c>
      <c r="AA15" s="81">
        <f>SUM('Cost Build'!Z7,'Cost Build'!Z9,'Cost Build'!Z11)</f>
        <v>33645.82357</v>
      </c>
      <c r="AB15" s="81">
        <f>SUM('Cost Build'!AA7,'Cost Build'!AA9,'Cost Build'!AA11)</f>
        <v>40428.375890999989</v>
      </c>
      <c r="AC15" s="81">
        <f>SUM('Cost Build'!AB7,'Cost Build'!AB9,'Cost Build'!AB11)</f>
        <v>43568.069760999999</v>
      </c>
      <c r="AD15" s="81">
        <f>SUM(Z15:AC15)</f>
        <v>149231.74236199999</v>
      </c>
      <c r="AE15" s="81">
        <f>SUM('Cost Build'!AD7,'Cost Build'!AD9,'Cost Build'!AD11)</f>
        <v>182106.36900069998</v>
      </c>
      <c r="AF15" s="81">
        <f>SUM('Cost Build'!AE7,'Cost Build'!AE9,'Cost Build'!AE11)</f>
        <v>194833.56969076899</v>
      </c>
      <c r="AG15" s="81">
        <f>SUM('Cost Build'!AF7,'Cost Build'!AF9,'Cost Build'!AF11)</f>
        <v>179210.62236696502</v>
      </c>
      <c r="AH15" s="81">
        <f>SUM('Cost Build'!AG7,'Cost Build'!AG9,'Cost Build'!AG11)</f>
        <v>173006.24931779804</v>
      </c>
      <c r="AI15" s="81">
        <f>SUM('Cost Build'!AH7,'Cost Build'!AH9,'Cost Build'!AH11)</f>
        <v>185764.59325342812</v>
      </c>
      <c r="AJ15" s="67"/>
      <c r="AK15" s="67"/>
      <c r="AL15" s="67"/>
      <c r="AM15" s="67"/>
      <c r="AN15" s="67"/>
    </row>
    <row r="16" spans="1:40" ht="15.75" customHeight="1" x14ac:dyDescent="0.2">
      <c r="A16" s="3"/>
      <c r="B16" s="7"/>
      <c r="C16" s="8" t="s">
        <v>29</v>
      </c>
      <c r="D16" s="8"/>
      <c r="E16" s="71"/>
      <c r="F16" s="21"/>
      <c r="G16" s="21"/>
      <c r="H16" s="21"/>
      <c r="K16" s="62">
        <f>K15/F15-1</f>
        <v>0.22719237568211503</v>
      </c>
      <c r="L16" s="62">
        <f t="shared" ref="L16" si="45">L15/G15-1</f>
        <v>0.32166732206055837</v>
      </c>
      <c r="M16" s="62">
        <f t="shared" ref="M16" si="46">M15/H15-1</f>
        <v>0.27022495458991203</v>
      </c>
      <c r="N16" s="62">
        <f t="shared" ref="N16" si="47">N15/I15-1</f>
        <v>0.23214866182685023</v>
      </c>
      <c r="O16" s="62">
        <f t="shared" ref="O16" si="48">O15/J15-1</f>
        <v>0.25982084857601961</v>
      </c>
      <c r="P16" s="62">
        <f t="shared" ref="P16" si="49">P15/K15-1</f>
        <v>0.26373144610759702</v>
      </c>
      <c r="Q16" s="62">
        <f t="shared" ref="Q16" si="50">Q15/L15-1</f>
        <v>0.34221957750669452</v>
      </c>
      <c r="R16" s="62">
        <f t="shared" ref="R16" si="51">R15/M15-1</f>
        <v>0.21576284237157628</v>
      </c>
      <c r="S16" s="62">
        <f t="shared" ref="S16" si="52">S15/N15-1</f>
        <v>0.27876709317152537</v>
      </c>
      <c r="T16" s="62">
        <f t="shared" ref="T16" si="53">T15/O15-1</f>
        <v>0.2744345088673894</v>
      </c>
      <c r="U16" s="62">
        <f t="shared" ref="U16" si="54">U15/P15-1</f>
        <v>0.16894637724254147</v>
      </c>
      <c r="V16" s="62">
        <f t="shared" ref="V16" si="55">V15/Q15-1</f>
        <v>0.41212981025004436</v>
      </c>
      <c r="W16" s="62">
        <f t="shared" ref="W16" si="56">W15/R15-1</f>
        <v>0.18439267134132553</v>
      </c>
      <c r="X16" s="62">
        <f t="shared" ref="X16" si="57">X15/S15-1</f>
        <v>0.23515455764535975</v>
      </c>
      <c r="Y16" s="62">
        <f t="shared" ref="Y16" si="58">Y15/T15-1</f>
        <v>0.25148527501543838</v>
      </c>
      <c r="Z16" s="62">
        <f t="shared" ref="Z16" si="59">Z15/U15-1</f>
        <v>0.33927473353966175</v>
      </c>
      <c r="AA16" s="62">
        <f t="shared" ref="AA16" si="60">AA15/V15-1</f>
        <v>5.6317454790907995E-2</v>
      </c>
      <c r="AB16" s="62">
        <f t="shared" ref="AB16" si="61">AB15/W15-1</f>
        <v>0.54418761281081651</v>
      </c>
      <c r="AC16" s="62">
        <f t="shared" ref="AC16" si="62">AC15/X15-1</f>
        <v>0.21285200604086629</v>
      </c>
      <c r="AD16" s="62">
        <f t="shared" ref="AD16" si="63">AD15/Y15-1</f>
        <v>0.26960356606149283</v>
      </c>
      <c r="AE16" s="62">
        <f>AE15/AD15-1</f>
        <v>0.22029245332373137</v>
      </c>
      <c r="AF16" s="62">
        <f t="shared" ref="AF16" si="64">AF15/AE15-1</f>
        <v>6.9888827941103404E-2</v>
      </c>
      <c r="AG16" s="62">
        <f t="shared" ref="AG16" si="65">AG15/AF15-1</f>
        <v>-8.0186116533203178E-2</v>
      </c>
      <c r="AH16" s="62">
        <f t="shared" ref="AH16" si="66">AH15/AG15-1</f>
        <v>-3.4620565272422521E-2</v>
      </c>
      <c r="AI16" s="62">
        <f t="shared" ref="AI16" si="67">AI15/AH15-1</f>
        <v>7.3744988900337649E-2</v>
      </c>
      <c r="AJ16" s="62"/>
      <c r="AK16" s="62"/>
      <c r="AL16" s="62"/>
      <c r="AM16" s="62"/>
      <c r="AN16" s="62"/>
    </row>
    <row r="17" spans="1:40" ht="15.75" customHeight="1" x14ac:dyDescent="0.2">
      <c r="A17" s="3"/>
      <c r="B17" s="2"/>
      <c r="C17" s="2" t="s">
        <v>69</v>
      </c>
      <c r="D17" s="3"/>
      <c r="E17" s="72"/>
      <c r="F17" s="76">
        <f>F15/F5</f>
        <v>0.3848952786652467</v>
      </c>
      <c r="G17" s="76">
        <f t="shared" ref="G17:AI17" si="68">G15/G5</f>
        <v>0.38482491450016648</v>
      </c>
      <c r="H17" s="76">
        <f t="shared" si="68"/>
        <v>0.40183032957161302</v>
      </c>
      <c r="I17" s="76">
        <f t="shared" si="68"/>
        <v>0.48151723058461376</v>
      </c>
      <c r="J17" s="76">
        <f t="shared" si="68"/>
        <v>0.41546875</v>
      </c>
      <c r="K17" s="76">
        <f t="shared" si="68"/>
        <v>0.37988627441650208</v>
      </c>
      <c r="L17" s="76">
        <f t="shared" si="68"/>
        <v>0.40724584999394159</v>
      </c>
      <c r="M17" s="76">
        <f t="shared" si="68"/>
        <v>0.39902558925514636</v>
      </c>
      <c r="N17" s="76">
        <f t="shared" si="68"/>
        <v>0.47290609664809113</v>
      </c>
      <c r="O17" s="76">
        <f t="shared" si="68"/>
        <v>0.41647782179448778</v>
      </c>
      <c r="P17" s="76">
        <f t="shared" si="68"/>
        <v>0.37809882511664511</v>
      </c>
      <c r="Q17" s="76">
        <f t="shared" si="68"/>
        <v>0.41539594843462246</v>
      </c>
      <c r="R17" s="76">
        <f t="shared" si="68"/>
        <v>0.37637704108562769</v>
      </c>
      <c r="S17" s="76">
        <f t="shared" si="68"/>
        <v>0.44156810348754233</v>
      </c>
      <c r="T17" s="76">
        <f t="shared" si="68"/>
        <v>0.40438127795884804</v>
      </c>
      <c r="U17" s="76">
        <f t="shared" si="68"/>
        <v>0.36093895851504998</v>
      </c>
      <c r="V17" s="76">
        <f t="shared" si="68"/>
        <v>0.46801257750742015</v>
      </c>
      <c r="W17" s="76">
        <f t="shared" si="68"/>
        <v>0.36717435207001009</v>
      </c>
      <c r="X17" s="76">
        <f t="shared" si="68"/>
        <v>0.41929195896023252</v>
      </c>
      <c r="Y17" s="76">
        <f t="shared" si="68"/>
        <v>0.40478125516557384</v>
      </c>
      <c r="Z17" s="76">
        <f t="shared" si="68"/>
        <v>0.39412873315006064</v>
      </c>
      <c r="AA17" s="76">
        <f t="shared" si="68"/>
        <v>0.39435328020174637</v>
      </c>
      <c r="AB17" s="76">
        <f t="shared" si="68"/>
        <v>0.44698747538476358</v>
      </c>
      <c r="AC17" s="76">
        <f t="shared" si="68"/>
        <v>0.44679000518346335</v>
      </c>
      <c r="AD17" s="76">
        <f t="shared" si="68"/>
        <v>0.42223968073177143</v>
      </c>
      <c r="AE17" s="76">
        <f t="shared" si="68"/>
        <v>0.44693714311678734</v>
      </c>
      <c r="AF17" s="76">
        <f t="shared" si="68"/>
        <v>0.44701578919706914</v>
      </c>
      <c r="AG17" s="76">
        <f t="shared" si="68"/>
        <v>0.39699307337061313</v>
      </c>
      <c r="AH17" s="76">
        <f t="shared" si="68"/>
        <v>0.36698215864884237</v>
      </c>
      <c r="AI17" s="76">
        <f t="shared" si="68"/>
        <v>0.36704304679848648</v>
      </c>
      <c r="AJ17" s="64"/>
      <c r="AK17" s="64"/>
      <c r="AL17" s="64"/>
      <c r="AM17" s="64"/>
      <c r="AN17" s="64"/>
    </row>
    <row r="18" spans="1:40" ht="15.75" customHeight="1" x14ac:dyDescent="0.2">
      <c r="A18" s="3"/>
      <c r="B18" s="2" t="s">
        <v>70</v>
      </c>
      <c r="C18" s="2"/>
      <c r="D18" s="3"/>
      <c r="E18" s="72"/>
      <c r="F18" s="80">
        <f>SUM(F15,F8)</f>
        <v>18822</v>
      </c>
      <c r="G18" s="80">
        <f t="shared" ref="G18:AI18" si="69">SUM(G15,G8)</f>
        <v>18262</v>
      </c>
      <c r="H18" s="80">
        <f t="shared" si="69"/>
        <v>20373</v>
      </c>
      <c r="I18" s="80">
        <f t="shared" si="69"/>
        <v>24699</v>
      </c>
      <c r="J18" s="80">
        <f t="shared" si="69"/>
        <v>82156</v>
      </c>
      <c r="K18" s="80">
        <f t="shared" si="69"/>
        <v>22884</v>
      </c>
      <c r="L18" s="80">
        <f t="shared" si="69"/>
        <v>22874</v>
      </c>
      <c r="M18" s="80">
        <f t="shared" si="69"/>
        <v>25382</v>
      </c>
      <c r="N18" s="80">
        <f t="shared" si="69"/>
        <v>31005</v>
      </c>
      <c r="O18" s="80">
        <f t="shared" si="69"/>
        <v>102145</v>
      </c>
      <c r="P18" s="80">
        <f t="shared" si="69"/>
        <v>28360</v>
      </c>
      <c r="Q18" s="80">
        <f t="shared" si="69"/>
        <v>30412</v>
      </c>
      <c r="R18" s="80">
        <f t="shared" si="69"/>
        <v>31818</v>
      </c>
      <c r="S18" s="80">
        <f t="shared" si="69"/>
        <v>39097</v>
      </c>
      <c r="T18" s="80">
        <f t="shared" si="69"/>
        <v>129687</v>
      </c>
      <c r="U18" s="80">
        <f t="shared" si="69"/>
        <v>33503</v>
      </c>
      <c r="V18" s="80">
        <f t="shared" si="69"/>
        <v>42126</v>
      </c>
      <c r="W18" s="80">
        <f t="shared" si="69"/>
        <v>37489</v>
      </c>
      <c r="X18" s="80">
        <f t="shared" si="69"/>
        <v>48946</v>
      </c>
      <c r="Y18" s="80">
        <f t="shared" si="69"/>
        <v>162064</v>
      </c>
      <c r="Z18" s="80">
        <f t="shared" si="69"/>
        <v>43292.443140000003</v>
      </c>
      <c r="AA18" s="80">
        <f t="shared" si="69"/>
        <v>46038.553370000001</v>
      </c>
      <c r="AB18" s="80">
        <f t="shared" si="69"/>
        <v>53995.325117999986</v>
      </c>
      <c r="AC18" s="80">
        <f t="shared" si="69"/>
        <v>58195.098987999998</v>
      </c>
      <c r="AD18" s="80">
        <f t="shared" si="69"/>
        <v>201521.42061599999</v>
      </c>
      <c r="AE18" s="80">
        <f t="shared" si="69"/>
        <v>243224.48319369997</v>
      </c>
      <c r="AF18" s="80">
        <f t="shared" si="69"/>
        <v>260211.65288131899</v>
      </c>
      <c r="AG18" s="80">
        <f t="shared" si="69"/>
        <v>246923.62583780751</v>
      </c>
      <c r="AH18" s="80">
        <f t="shared" si="69"/>
        <v>243720.68811562966</v>
      </c>
      <c r="AI18" s="80">
        <f t="shared" si="69"/>
        <v>261681.27177673072</v>
      </c>
      <c r="AJ18" s="23"/>
      <c r="AK18" s="23"/>
      <c r="AL18" s="23"/>
      <c r="AM18" s="23"/>
      <c r="AN18" s="23"/>
    </row>
    <row r="19" spans="1:40" ht="15.75" customHeight="1" x14ac:dyDescent="0.2">
      <c r="A19" s="8"/>
      <c r="B19" s="2"/>
      <c r="C19" s="2"/>
      <c r="D19" s="3"/>
      <c r="E19" s="72"/>
      <c r="F19" s="21"/>
      <c r="G19" s="21"/>
      <c r="H19" s="21"/>
      <c r="W19" s="64"/>
      <c r="X19" s="64"/>
      <c r="Y19" s="64"/>
      <c r="Z19" s="64"/>
      <c r="AA19" s="21"/>
      <c r="AB19" s="21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</row>
    <row r="20" spans="1:40" ht="15.75" customHeight="1" thickBot="1" x14ac:dyDescent="0.25">
      <c r="A20" s="3"/>
      <c r="B20" s="9" t="s">
        <v>71</v>
      </c>
      <c r="C20" s="9"/>
      <c r="D20" s="57"/>
      <c r="E20" s="70"/>
      <c r="F20" s="83">
        <f>F11-F15</f>
        <v>14982</v>
      </c>
      <c r="G20" s="83">
        <f t="shared" ref="G20:AI20" si="70">G11-G15</f>
        <v>14779</v>
      </c>
      <c r="H20" s="83">
        <f t="shared" si="70"/>
        <v>15249</v>
      </c>
      <c r="I20" s="83">
        <f t="shared" si="70"/>
        <v>13634</v>
      </c>
      <c r="J20" s="83">
        <f t="shared" si="70"/>
        <v>58644</v>
      </c>
      <c r="K20" s="83">
        <f t="shared" si="70"/>
        <v>19147</v>
      </c>
      <c r="L20" s="83">
        <f t="shared" si="70"/>
        <v>18391</v>
      </c>
      <c r="M20" s="83">
        <f t="shared" si="70"/>
        <v>20184</v>
      </c>
      <c r="N20" s="83">
        <f t="shared" si="70"/>
        <v>17087</v>
      </c>
      <c r="O20" s="83">
        <f t="shared" si="70"/>
        <v>74808</v>
      </c>
      <c r="P20" s="83">
        <f t="shared" si="70"/>
        <v>25007</v>
      </c>
      <c r="Q20" s="83">
        <f t="shared" si="70"/>
        <v>23888</v>
      </c>
      <c r="R20" s="83">
        <f t="shared" si="70"/>
        <v>26913</v>
      </c>
      <c r="S20" s="83">
        <f t="shared" si="70"/>
        <v>26766</v>
      </c>
      <c r="T20" s="83">
        <f t="shared" si="70"/>
        <v>102574</v>
      </c>
      <c r="U20" s="83">
        <f t="shared" si="70"/>
        <v>31846</v>
      </c>
      <c r="V20" s="83">
        <f t="shared" si="70"/>
        <v>25932</v>
      </c>
      <c r="W20" s="83">
        <f t="shared" si="70"/>
        <v>33815</v>
      </c>
      <c r="X20" s="83">
        <f t="shared" si="70"/>
        <v>36727</v>
      </c>
      <c r="Y20" s="83">
        <f t="shared" si="70"/>
        <v>128320</v>
      </c>
      <c r="Z20" s="83">
        <f t="shared" si="70"/>
        <v>36857.696859999996</v>
      </c>
      <c r="AA20" s="83">
        <f t="shared" si="70"/>
        <v>39280.436630000004</v>
      </c>
      <c r="AB20" s="83">
        <f t="shared" si="70"/>
        <v>36451.003061999989</v>
      </c>
      <c r="AC20" s="83">
        <f t="shared" si="70"/>
        <v>39318.429192000003</v>
      </c>
      <c r="AD20" s="83">
        <f>AD11-AD15</f>
        <v>151907.56574399996</v>
      </c>
      <c r="AE20" s="83">
        <f t="shared" si="70"/>
        <v>164229.61142630005</v>
      </c>
      <c r="AF20" s="83">
        <f t="shared" si="70"/>
        <v>175642.23505568106</v>
      </c>
      <c r="AG20" s="83">
        <f t="shared" si="70"/>
        <v>204496.39730114242</v>
      </c>
      <c r="AH20" s="83">
        <f t="shared" si="70"/>
        <v>227708.90386991462</v>
      </c>
      <c r="AI20" s="83">
        <f t="shared" si="70"/>
        <v>244429.91837862006</v>
      </c>
      <c r="AJ20" s="65"/>
      <c r="AK20" s="65"/>
      <c r="AL20" s="65"/>
      <c r="AM20" s="65"/>
      <c r="AN20" s="65"/>
    </row>
    <row r="21" spans="1:40" ht="15.75" customHeight="1" thickTop="1" x14ac:dyDescent="0.2">
      <c r="A21" s="3"/>
      <c r="B21" s="7"/>
      <c r="C21" s="8" t="s">
        <v>29</v>
      </c>
      <c r="D21" s="8"/>
      <c r="E21" s="71"/>
      <c r="F21" s="21"/>
      <c r="G21" s="21"/>
      <c r="H21" s="21"/>
      <c r="K21" s="62">
        <f>K20/F20-1</f>
        <v>0.27800026698705116</v>
      </c>
      <c r="L21" s="62">
        <f t="shared" ref="L21" si="71">L20/G20-1</f>
        <v>0.24440083902835097</v>
      </c>
      <c r="M21" s="62">
        <f t="shared" ref="M21" si="72">M20/H20-1</f>
        <v>0.32362777887074556</v>
      </c>
      <c r="N21" s="62">
        <f t="shared" ref="N21" si="73">N20/I20-1</f>
        <v>0.25326389907583979</v>
      </c>
      <c r="O21" s="62">
        <f t="shared" ref="O21" si="74">O20/J20-1</f>
        <v>0.27562922038060167</v>
      </c>
      <c r="P21" s="62">
        <f t="shared" ref="P21" si="75">P20/K20-1</f>
        <v>0.30605316759805712</v>
      </c>
      <c r="Q21" s="62">
        <f t="shared" ref="Q21" si="76">Q20/L20-1</f>
        <v>0.29889619922788313</v>
      </c>
      <c r="R21" s="62">
        <f t="shared" ref="R21" si="77">R20/M20-1</f>
        <v>0.33338287752675377</v>
      </c>
      <c r="S21" s="62">
        <f t="shared" ref="S21" si="78">S20/N20-1</f>
        <v>0.56645402937906009</v>
      </c>
      <c r="T21" s="62">
        <f t="shared" ref="T21" si="79">T20/O20-1</f>
        <v>0.37116351192385832</v>
      </c>
      <c r="U21" s="62">
        <f t="shared" ref="U21" si="80">U20/P20-1</f>
        <v>0.27348342464110043</v>
      </c>
      <c r="V21" s="62">
        <f t="shared" ref="V21" si="81">V20/Q20-1</f>
        <v>8.5565974547890056E-2</v>
      </c>
      <c r="W21" s="62">
        <f t="shared" ref="W21" si="82">W20/R20-1</f>
        <v>0.25645598781258139</v>
      </c>
      <c r="X21" s="62">
        <f t="shared" ref="X21" si="83">X20/S20-1</f>
        <v>0.37215123664350291</v>
      </c>
      <c r="Y21" s="62">
        <f t="shared" ref="Y21" si="84">Y20/T20-1</f>
        <v>0.25099927856961801</v>
      </c>
      <c r="Z21" s="62">
        <f t="shared" ref="Z21" si="85">Z20/U20-1</f>
        <v>0.15737288387866588</v>
      </c>
      <c r="AA21" s="62">
        <f t="shared" ref="AA21" si="86">AA20/V20-1</f>
        <v>0.51474767198827709</v>
      </c>
      <c r="AB21" s="62">
        <f t="shared" ref="AB21" si="87">AB20/W20-1</f>
        <v>7.7953661452017986E-2</v>
      </c>
      <c r="AC21" s="62">
        <f t="shared" ref="AC21" si="88">AC20/X20-1</f>
        <v>7.0559239578511734E-2</v>
      </c>
      <c r="AD21" s="62">
        <f t="shared" ref="AD21" si="89">AD20/Y20-1</f>
        <v>0.1838183115960097</v>
      </c>
      <c r="AE21" s="62">
        <f>AE20/AD20-1</f>
        <v>8.1115417931623135E-2</v>
      </c>
      <c r="AF21" s="62">
        <f t="shared" ref="AF21" si="90">AF20/AE20-1</f>
        <v>6.9491875005151194E-2</v>
      </c>
      <c r="AG21" s="62">
        <f t="shared" ref="AG21" si="91">AG20/AF20-1</f>
        <v>0.16427804073612595</v>
      </c>
      <c r="AH21" s="62">
        <f t="shared" ref="AH21" si="92">AH20/AG20-1</f>
        <v>0.11351058930680979</v>
      </c>
      <c r="AI21" s="62">
        <f t="shared" ref="AI21" si="93">AI20/AH20-1</f>
        <v>7.3431535721843355E-2</v>
      </c>
      <c r="AJ21" s="62"/>
      <c r="AK21" s="62"/>
      <c r="AL21" s="62"/>
      <c r="AM21" s="62"/>
      <c r="AN21" s="62"/>
    </row>
    <row r="22" spans="1:40" ht="15.75" customHeight="1" x14ac:dyDescent="0.2">
      <c r="A22" s="3"/>
      <c r="B22" s="2"/>
      <c r="C22" s="2" t="s">
        <v>72</v>
      </c>
      <c r="D22" s="2"/>
      <c r="E22" s="74"/>
      <c r="F22" s="76">
        <f>F20/F5</f>
        <v>0.44320198793042243</v>
      </c>
      <c r="G22" s="76">
        <f t="shared" ref="G22:AI22" si="94">G20/G5</f>
        <v>0.44729275748312702</v>
      </c>
      <c r="H22" s="76">
        <f t="shared" si="94"/>
        <v>0.42807815394980631</v>
      </c>
      <c r="I22" s="76">
        <f t="shared" si="94"/>
        <v>0.35567265802311326</v>
      </c>
      <c r="J22" s="76">
        <f t="shared" si="94"/>
        <v>0.41650568181818182</v>
      </c>
      <c r="K22" s="76">
        <f t="shared" si="94"/>
        <v>0.4555447169945992</v>
      </c>
      <c r="L22" s="76">
        <f t="shared" si="94"/>
        <v>0.44568035865745792</v>
      </c>
      <c r="M22" s="76">
        <f t="shared" si="94"/>
        <v>0.44296185752534784</v>
      </c>
      <c r="N22" s="76">
        <f t="shared" si="94"/>
        <v>0.35529817849122514</v>
      </c>
      <c r="O22" s="76">
        <f t="shared" si="94"/>
        <v>0.42275632512588091</v>
      </c>
      <c r="P22" s="76">
        <f t="shared" si="94"/>
        <v>0.46858545543125901</v>
      </c>
      <c r="Q22" s="76">
        <f t="shared" si="94"/>
        <v>0.43992633517495394</v>
      </c>
      <c r="R22" s="76">
        <f t="shared" si="94"/>
        <v>0.45824181437401029</v>
      </c>
      <c r="S22" s="76">
        <f t="shared" si="94"/>
        <v>0.40638901963165963</v>
      </c>
      <c r="T22" s="76">
        <f t="shared" si="94"/>
        <v>0.44163247381178933</v>
      </c>
      <c r="U22" s="76">
        <f t="shared" si="94"/>
        <v>0.48732191770340788</v>
      </c>
      <c r="V22" s="76">
        <f t="shared" si="94"/>
        <v>0.38102794675130036</v>
      </c>
      <c r="W22" s="76">
        <f t="shared" si="94"/>
        <v>0.47423706944911925</v>
      </c>
      <c r="X22" s="76">
        <f t="shared" si="94"/>
        <v>0.42868815145961969</v>
      </c>
      <c r="Y22" s="76">
        <f t="shared" si="94"/>
        <v>0.44189762521351039</v>
      </c>
      <c r="Z22" s="76">
        <f t="shared" si="94"/>
        <v>0.45985817192583817</v>
      </c>
      <c r="AA22" s="76">
        <f t="shared" si="94"/>
        <v>0.4603950026834589</v>
      </c>
      <c r="AB22" s="76">
        <f t="shared" si="94"/>
        <v>0.40301252461523634</v>
      </c>
      <c r="AC22" s="76">
        <f t="shared" si="94"/>
        <v>0.40320999481653669</v>
      </c>
      <c r="AD22" s="76">
        <f t="shared" si="94"/>
        <v>0.42981071617387973</v>
      </c>
      <c r="AE22" s="76">
        <f t="shared" si="94"/>
        <v>0.40306285688321264</v>
      </c>
      <c r="AF22" s="76">
        <f t="shared" si="94"/>
        <v>0.40298421080293095</v>
      </c>
      <c r="AG22" s="76">
        <f t="shared" si="94"/>
        <v>0.45300692662938691</v>
      </c>
      <c r="AH22" s="76">
        <f t="shared" si="94"/>
        <v>0.48301784135115766</v>
      </c>
      <c r="AI22" s="76">
        <f t="shared" si="94"/>
        <v>0.48295695320151355</v>
      </c>
      <c r="AJ22" s="64"/>
      <c r="AK22" s="64"/>
      <c r="AL22" s="64"/>
      <c r="AM22" s="64"/>
      <c r="AN22" s="64"/>
    </row>
    <row r="23" spans="1:40" ht="15.75" customHeight="1" x14ac:dyDescent="0.2">
      <c r="A23" s="3"/>
      <c r="B23" s="7"/>
      <c r="C23" s="8"/>
      <c r="D23" s="8"/>
      <c r="E23" s="71"/>
      <c r="F23" s="21"/>
      <c r="G23" s="21"/>
      <c r="H23" s="21"/>
      <c r="W23" s="62"/>
      <c r="X23" s="62"/>
      <c r="Y23" s="62"/>
      <c r="Z23" s="62"/>
      <c r="AA23" s="21"/>
      <c r="AB23" s="21"/>
      <c r="AC23" s="66"/>
      <c r="AD23" s="66"/>
      <c r="AE23" s="62"/>
      <c r="AF23" s="62"/>
      <c r="AG23" s="62"/>
      <c r="AH23" s="62"/>
      <c r="AI23" s="62"/>
      <c r="AJ23" s="62"/>
      <c r="AK23" s="62"/>
      <c r="AL23" s="62"/>
      <c r="AM23" s="62"/>
      <c r="AN23" s="62"/>
    </row>
    <row r="24" spans="1:40" ht="15.75" customHeight="1" x14ac:dyDescent="0.2">
      <c r="A24" s="8"/>
      <c r="B24" s="2" t="s">
        <v>73</v>
      </c>
      <c r="C24" s="2"/>
      <c r="D24" s="2"/>
      <c r="E24" s="74"/>
      <c r="F24" s="80">
        <f>F25-F20</f>
        <v>956</v>
      </c>
      <c r="G24" s="80">
        <f t="shared" ref="G24:AI24" si="95">G25-G20</f>
        <v>138</v>
      </c>
      <c r="H24" s="80">
        <f t="shared" si="95"/>
        <v>-137</v>
      </c>
      <c r="I24" s="80">
        <f t="shared" si="95"/>
        <v>-521</v>
      </c>
      <c r="J24" s="80">
        <f t="shared" si="95"/>
        <v>436</v>
      </c>
      <c r="K24" s="80">
        <f t="shared" si="95"/>
        <v>-1228</v>
      </c>
      <c r="L24" s="80">
        <f t="shared" si="95"/>
        <v>-1596</v>
      </c>
      <c r="M24" s="80">
        <f t="shared" si="95"/>
        <v>-2152</v>
      </c>
      <c r="N24" s="80">
        <f t="shared" si="95"/>
        <v>-771</v>
      </c>
      <c r="O24" s="80">
        <f t="shared" si="95"/>
        <v>-5746</v>
      </c>
      <c r="P24" s="80">
        <f t="shared" si="95"/>
        <v>-270</v>
      </c>
      <c r="Q24" s="80">
        <f t="shared" si="95"/>
        <v>366</v>
      </c>
      <c r="R24" s="80">
        <f t="shared" si="95"/>
        <v>1150</v>
      </c>
      <c r="S24" s="80">
        <f t="shared" si="95"/>
        <v>854</v>
      </c>
      <c r="T24" s="80">
        <f t="shared" si="95"/>
        <v>2100</v>
      </c>
      <c r="U24" s="80">
        <f t="shared" si="95"/>
        <v>72</v>
      </c>
      <c r="V24" s="80">
        <f t="shared" si="95"/>
        <v>-600</v>
      </c>
      <c r="W24" s="80">
        <f t="shared" si="95"/>
        <v>569</v>
      </c>
      <c r="X24" s="80">
        <f t="shared" si="95"/>
        <v>-1170</v>
      </c>
      <c r="Y24" s="80">
        <f t="shared" si="95"/>
        <v>-1129</v>
      </c>
      <c r="Z24" s="80">
        <f t="shared" si="95"/>
        <v>-2263.0455890410958</v>
      </c>
      <c r="AA24" s="80">
        <f t="shared" si="95"/>
        <v>-2290.2485587288102</v>
      </c>
      <c r="AB24" s="85">
        <v>-2285.1227319100917</v>
      </c>
      <c r="AC24" s="85">
        <v>-2274.3659256047495</v>
      </c>
      <c r="AD24" s="85">
        <f>SUM(Z24:AC24)</f>
        <v>-9112.7828052847472</v>
      </c>
      <c r="AE24" s="85">
        <v>-1103.7505078798804</v>
      </c>
      <c r="AF24" s="85">
        <v>210.36456032769092</v>
      </c>
      <c r="AG24" s="85">
        <v>2214.4610878268231</v>
      </c>
      <c r="AH24" s="85">
        <v>4555.8262573950624</v>
      </c>
      <c r="AI24" s="85">
        <v>7225.9956458484976</v>
      </c>
      <c r="AJ24" s="23"/>
      <c r="AK24" s="23"/>
      <c r="AL24" s="23"/>
      <c r="AM24" s="23"/>
      <c r="AN24" s="23"/>
    </row>
    <row r="25" spans="1:40" ht="15.75" customHeight="1" thickBot="1" x14ac:dyDescent="0.25">
      <c r="A25" s="3"/>
      <c r="B25" s="9" t="s">
        <v>74</v>
      </c>
      <c r="C25" s="9"/>
      <c r="D25" s="9"/>
      <c r="E25" s="75"/>
      <c r="F25" s="81">
        <v>15938</v>
      </c>
      <c r="G25" s="81">
        <v>14917</v>
      </c>
      <c r="H25" s="81">
        <v>15112</v>
      </c>
      <c r="I25" s="84">
        <v>13113</v>
      </c>
      <c r="J25" s="84">
        <v>59080</v>
      </c>
      <c r="K25" s="84">
        <v>17919</v>
      </c>
      <c r="L25" s="84">
        <v>16795</v>
      </c>
      <c r="M25" s="84">
        <v>18032</v>
      </c>
      <c r="N25" s="84">
        <v>16316</v>
      </c>
      <c r="O25" s="84">
        <v>69062</v>
      </c>
      <c r="P25" s="84">
        <v>24737</v>
      </c>
      <c r="Q25" s="84">
        <v>24254</v>
      </c>
      <c r="R25" s="84">
        <v>28063</v>
      </c>
      <c r="S25" s="84">
        <v>27620</v>
      </c>
      <c r="T25" s="84">
        <v>104674</v>
      </c>
      <c r="U25" s="84">
        <v>31918</v>
      </c>
      <c r="V25" s="84">
        <v>25332</v>
      </c>
      <c r="W25" s="46">
        <v>34384</v>
      </c>
      <c r="X25" s="46">
        <v>35557</v>
      </c>
      <c r="Y25" s="46">
        <v>127191</v>
      </c>
      <c r="Z25" s="46">
        <v>34594.651270958901</v>
      </c>
      <c r="AA25" s="81">
        <v>36990.188071271194</v>
      </c>
      <c r="AB25" s="61">
        <f>SUM(AB20,AB24)</f>
        <v>34165.880330089894</v>
      </c>
      <c r="AC25" s="61">
        <f t="shared" ref="AC25:AI25" si="96">SUM(AC20,AC24)</f>
        <v>37044.063266395257</v>
      </c>
      <c r="AD25" s="61">
        <f t="shared" si="96"/>
        <v>142794.78293871522</v>
      </c>
      <c r="AE25" s="61">
        <f t="shared" si="96"/>
        <v>163125.86091842016</v>
      </c>
      <c r="AF25" s="61">
        <f t="shared" si="96"/>
        <v>175852.59961600875</v>
      </c>
      <c r="AG25" s="61">
        <f t="shared" si="96"/>
        <v>206710.85838896924</v>
      </c>
      <c r="AH25" s="61">
        <f t="shared" si="96"/>
        <v>232264.73012730968</v>
      </c>
      <c r="AI25" s="61">
        <f t="shared" si="96"/>
        <v>251655.91402446857</v>
      </c>
      <c r="AJ25" s="65"/>
      <c r="AK25" s="65"/>
      <c r="AL25" s="65"/>
      <c r="AM25" s="65"/>
      <c r="AN25" s="65"/>
    </row>
    <row r="26" spans="1:40" ht="15.75" customHeight="1" thickTop="1" x14ac:dyDescent="0.2">
      <c r="A26" s="8"/>
      <c r="B26" s="7"/>
      <c r="C26" s="8" t="s">
        <v>29</v>
      </c>
      <c r="D26" s="8"/>
      <c r="E26" s="71"/>
      <c r="F26" s="21"/>
      <c r="G26" s="21"/>
      <c r="H26" s="21"/>
      <c r="K26" s="62">
        <f>K25/F25-1</f>
        <v>0.12429413979169279</v>
      </c>
      <c r="L26" s="62">
        <f t="shared" ref="L26" si="97">L25/G25-1</f>
        <v>0.12589662800831269</v>
      </c>
      <c r="M26" s="62">
        <f t="shared" ref="M26" si="98">M25/H25-1</f>
        <v>0.19322392800423493</v>
      </c>
      <c r="N26" s="62">
        <f t="shared" ref="N26" si="99">N25/I25-1</f>
        <v>0.24426141996492023</v>
      </c>
      <c r="O26" s="62">
        <f t="shared" ref="O26" si="100">O25/J25-1</f>
        <v>0.16895734597156409</v>
      </c>
      <c r="P26" s="62">
        <f t="shared" ref="P26" si="101">P25/K25-1</f>
        <v>0.38048998269992751</v>
      </c>
      <c r="Q26" s="62">
        <f t="shared" ref="Q26" si="102">Q25/L25-1</f>
        <v>0.44412027389103903</v>
      </c>
      <c r="R26" s="62">
        <f t="shared" ref="R26" si="103">R25/M25-1</f>
        <v>0.5562888198757765</v>
      </c>
      <c r="S26" s="62">
        <f t="shared" ref="S26" si="104">S25/N25-1</f>
        <v>0.69281686687913702</v>
      </c>
      <c r="T26" s="62">
        <f t="shared" ref="T26" si="105">T25/O25-1</f>
        <v>0.51565260200978824</v>
      </c>
      <c r="U26" s="62">
        <f t="shared" ref="U26" si="106">U25/P25-1</f>
        <v>0.29029389174111664</v>
      </c>
      <c r="V26" s="62">
        <f t="shared" ref="V26" si="107">V25/Q25-1</f>
        <v>4.4446276902778914E-2</v>
      </c>
      <c r="W26" s="62">
        <f t="shared" ref="W26" si="108">W25/R25-1</f>
        <v>0.22524320279371413</v>
      </c>
      <c r="X26" s="62">
        <f t="shared" ref="X26" si="109">X25/S25-1</f>
        <v>0.28736422881969581</v>
      </c>
      <c r="Y26" s="62">
        <f t="shared" ref="Y26" si="110">Y25/T25-1</f>
        <v>0.21511550146168101</v>
      </c>
      <c r="Z26" s="62">
        <f t="shared" ref="Z26" si="111">Z25/U25-1</f>
        <v>8.3860244092953895E-2</v>
      </c>
      <c r="AA26" s="62">
        <f t="shared" ref="AA26" si="112">AA25/V25-1</f>
        <v>0.46021585627945649</v>
      </c>
      <c r="AB26" s="62">
        <f t="shared" ref="AB26" si="113">AB25/W25-1</f>
        <v>-6.3436386083673968E-3</v>
      </c>
      <c r="AC26" s="62">
        <f t="shared" ref="AC26" si="114">AC25/X25-1</f>
        <v>4.1821955350430429E-2</v>
      </c>
      <c r="AD26" s="62">
        <f t="shared" ref="AD26" si="115">AD25/Y25-1</f>
        <v>0.12267992970190678</v>
      </c>
      <c r="AE26" s="62">
        <f>AE25/AD25-1</f>
        <v>0.14237969736212741</v>
      </c>
      <c r="AF26" s="62">
        <f t="shared" ref="AF26" si="116">AF25/AE25-1</f>
        <v>7.8017909765719429E-2</v>
      </c>
      <c r="AG26" s="62">
        <f t="shared" ref="AG26" si="117">AG25/AF25-1</f>
        <v>0.17547797894567663</v>
      </c>
      <c r="AH26" s="62">
        <f t="shared" ref="AH26" si="118">AH25/AG25-1</f>
        <v>0.12362133241329554</v>
      </c>
      <c r="AI26" s="62">
        <f t="shared" ref="AI26" si="119">AI25/AH25-1</f>
        <v>8.3487423538348482E-2</v>
      </c>
      <c r="AJ26" s="62"/>
      <c r="AK26" s="62"/>
      <c r="AL26" s="62"/>
      <c r="AM26" s="62"/>
      <c r="AN26" s="62"/>
    </row>
    <row r="27" spans="1:40" ht="15.75" customHeight="1" x14ac:dyDescent="0.2">
      <c r="A27" s="3"/>
      <c r="B27" s="2"/>
      <c r="C27" s="86" t="s">
        <v>86</v>
      </c>
      <c r="D27" s="2"/>
      <c r="E27" s="74"/>
      <c r="F27" s="50">
        <v>3315</v>
      </c>
      <c r="G27" s="50">
        <v>2794</v>
      </c>
      <c r="H27" s="50">
        <v>2993</v>
      </c>
      <c r="I27" s="51">
        <v>2221</v>
      </c>
      <c r="J27" s="51">
        <v>11323</v>
      </c>
      <c r="K27" s="51">
        <v>3709</v>
      </c>
      <c r="L27" s="51">
        <v>3477</v>
      </c>
      <c r="M27" s="51">
        <v>3627</v>
      </c>
      <c r="N27" s="51">
        <v>2724</v>
      </c>
      <c r="O27" s="51">
        <v>13537</v>
      </c>
      <c r="P27" s="51">
        <v>4923</v>
      </c>
      <c r="Q27" s="51">
        <v>4826</v>
      </c>
      <c r="R27" s="51">
        <v>5585</v>
      </c>
      <c r="S27" s="51">
        <v>5657</v>
      </c>
      <c r="T27" s="51">
        <v>20991</v>
      </c>
      <c r="U27" s="51">
        <v>6511</v>
      </c>
      <c r="V27" s="51">
        <v>5282</v>
      </c>
      <c r="W27" s="44">
        <v>7083</v>
      </c>
      <c r="X27" s="44">
        <v>7327</v>
      </c>
      <c r="Y27" s="44">
        <v>26203</v>
      </c>
      <c r="Z27" s="44">
        <v>7610.8232796109578</v>
      </c>
      <c r="AA27" s="50">
        <v>8137.8413756796626</v>
      </c>
      <c r="AB27" s="88">
        <f>AB29*AB25</f>
        <v>6833.1760660179789</v>
      </c>
      <c r="AC27" s="88">
        <f t="shared" ref="AC27:AI27" si="120">AC29*AC25</f>
        <v>7408.812653279052</v>
      </c>
      <c r="AD27" s="88">
        <f>SUM(Z27:AC27)</f>
        <v>29990.653374587651</v>
      </c>
      <c r="AE27" s="88">
        <f t="shared" si="120"/>
        <v>32625.172183684033</v>
      </c>
      <c r="AF27" s="88">
        <f t="shared" si="120"/>
        <v>35170.519923201755</v>
      </c>
      <c r="AG27" s="88">
        <f t="shared" si="120"/>
        <v>41342.171677793849</v>
      </c>
      <c r="AH27" s="88">
        <f t="shared" si="120"/>
        <v>46452.946025461941</v>
      </c>
      <c r="AI27" s="88">
        <f t="shared" si="120"/>
        <v>50331.182804893717</v>
      </c>
      <c r="AJ27" s="63"/>
      <c r="AK27" s="63"/>
      <c r="AL27" s="63"/>
      <c r="AM27" s="63"/>
      <c r="AN27" s="63"/>
    </row>
    <row r="28" spans="1:40" ht="15.75" customHeight="1" x14ac:dyDescent="0.2">
      <c r="A28" s="56"/>
      <c r="B28" s="3"/>
      <c r="C28" s="86" t="s">
        <v>87</v>
      </c>
      <c r="D28" s="2"/>
      <c r="E28" s="74"/>
      <c r="F28" s="50">
        <v>0</v>
      </c>
      <c r="G28" s="50">
        <v>0</v>
      </c>
      <c r="H28" s="50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44">
        <v>0</v>
      </c>
      <c r="X28" s="44">
        <v>0</v>
      </c>
      <c r="Y28" s="44">
        <v>0</v>
      </c>
      <c r="Z28" s="44">
        <v>0</v>
      </c>
      <c r="AA28" s="50">
        <v>0</v>
      </c>
      <c r="AB28" s="88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23"/>
      <c r="AK28" s="23"/>
      <c r="AL28" s="23"/>
      <c r="AM28" s="23"/>
      <c r="AN28" s="23"/>
    </row>
    <row r="29" spans="1:40" ht="15.75" customHeight="1" x14ac:dyDescent="0.2">
      <c r="A29" s="8"/>
      <c r="B29" s="2" t="s">
        <v>89</v>
      </c>
      <c r="E29" s="90"/>
      <c r="F29" s="87">
        <f>F27/F25</f>
        <v>0.20799347471451876</v>
      </c>
      <c r="G29" s="87">
        <f t="shared" ref="G29:AI29" si="121">G27/G25</f>
        <v>0.18730307702621171</v>
      </c>
      <c r="H29" s="87">
        <f t="shared" si="121"/>
        <v>0.19805452620434091</v>
      </c>
      <c r="I29" s="87">
        <f t="shared" si="121"/>
        <v>0.16937390375962785</v>
      </c>
      <c r="J29" s="87">
        <f t="shared" si="121"/>
        <v>0.19165538253215977</v>
      </c>
      <c r="K29" s="87">
        <f t="shared" si="121"/>
        <v>0.20698699704224566</v>
      </c>
      <c r="L29" s="87">
        <f t="shared" si="121"/>
        <v>0.20702590056564454</v>
      </c>
      <c r="M29" s="87">
        <f t="shared" si="121"/>
        <v>0.20114241348713399</v>
      </c>
      <c r="N29" s="87">
        <f t="shared" si="121"/>
        <v>0.16695268448149056</v>
      </c>
      <c r="O29" s="87">
        <f t="shared" si="121"/>
        <v>0.19601227882192812</v>
      </c>
      <c r="P29" s="87">
        <f t="shared" si="121"/>
        <v>0.19901362331729797</v>
      </c>
      <c r="Q29" s="87">
        <f t="shared" si="121"/>
        <v>0.19897748824936093</v>
      </c>
      <c r="R29" s="87">
        <f t="shared" si="121"/>
        <v>0.19901649859245268</v>
      </c>
      <c r="S29" s="87">
        <f t="shared" si="121"/>
        <v>0.20481535119478639</v>
      </c>
      <c r="T29" s="87">
        <f t="shared" si="121"/>
        <v>0.20053690505760743</v>
      </c>
      <c r="U29" s="87">
        <f t="shared" si="121"/>
        <v>0.20399147816279214</v>
      </c>
      <c r="V29" s="87">
        <f t="shared" si="121"/>
        <v>0.20851097426180326</v>
      </c>
      <c r="W29" s="87">
        <f t="shared" si="121"/>
        <v>0.20599697533736622</v>
      </c>
      <c r="X29" s="87">
        <f t="shared" si="121"/>
        <v>0.20606350367016341</v>
      </c>
      <c r="Y29" s="87">
        <f t="shared" si="121"/>
        <v>0.20601300406475301</v>
      </c>
      <c r="Z29" s="87">
        <f t="shared" si="121"/>
        <v>0.22</v>
      </c>
      <c r="AA29" s="87">
        <f t="shared" si="121"/>
        <v>0.22</v>
      </c>
      <c r="AB29" s="87">
        <v>0.2</v>
      </c>
      <c r="AC29" s="87">
        <v>0.2</v>
      </c>
      <c r="AD29" s="87">
        <v>0.2</v>
      </c>
      <c r="AE29" s="87">
        <v>0.2</v>
      </c>
      <c r="AF29" s="87">
        <v>0.2</v>
      </c>
      <c r="AG29" s="87">
        <v>0.2</v>
      </c>
      <c r="AH29" s="87">
        <v>0.2</v>
      </c>
      <c r="AI29" s="87">
        <v>0.2</v>
      </c>
      <c r="AJ29" s="64"/>
      <c r="AK29" s="64"/>
      <c r="AL29" s="64"/>
      <c r="AM29" s="64"/>
      <c r="AN29" s="64"/>
    </row>
    <row r="30" spans="1:40" ht="15.75" customHeight="1" thickBot="1" x14ac:dyDescent="0.25">
      <c r="A30" s="3"/>
      <c r="B30" s="9" t="s">
        <v>88</v>
      </c>
      <c r="C30" s="9"/>
      <c r="D30" s="9"/>
      <c r="E30" s="75"/>
      <c r="F30" s="83">
        <f>F25-F27+F28</f>
        <v>12623</v>
      </c>
      <c r="G30" s="83">
        <f t="shared" ref="G30:AI30" si="122">G25-G27+G28</f>
        <v>12123</v>
      </c>
      <c r="H30" s="83">
        <f t="shared" si="122"/>
        <v>12119</v>
      </c>
      <c r="I30" s="83">
        <f t="shared" si="122"/>
        <v>10892</v>
      </c>
      <c r="J30" s="83">
        <f t="shared" si="122"/>
        <v>47757</v>
      </c>
      <c r="K30" s="83">
        <f t="shared" si="122"/>
        <v>14210</v>
      </c>
      <c r="L30" s="83">
        <f t="shared" si="122"/>
        <v>13318</v>
      </c>
      <c r="M30" s="83">
        <f t="shared" si="122"/>
        <v>14405</v>
      </c>
      <c r="N30" s="83">
        <f t="shared" si="122"/>
        <v>13592</v>
      </c>
      <c r="O30" s="83">
        <f t="shared" si="122"/>
        <v>55525</v>
      </c>
      <c r="P30" s="83">
        <f t="shared" si="122"/>
        <v>19814</v>
      </c>
      <c r="Q30" s="83">
        <f t="shared" si="122"/>
        <v>19428</v>
      </c>
      <c r="R30" s="83">
        <f t="shared" si="122"/>
        <v>22478</v>
      </c>
      <c r="S30" s="83">
        <f t="shared" si="122"/>
        <v>21963</v>
      </c>
      <c r="T30" s="83">
        <f t="shared" si="122"/>
        <v>83683</v>
      </c>
      <c r="U30" s="83">
        <f t="shared" si="122"/>
        <v>25407</v>
      </c>
      <c r="V30" s="83">
        <f t="shared" si="122"/>
        <v>20050</v>
      </c>
      <c r="W30" s="83">
        <f t="shared" si="122"/>
        <v>27301</v>
      </c>
      <c r="X30" s="83">
        <f t="shared" si="122"/>
        <v>28230</v>
      </c>
      <c r="Y30" s="83">
        <f t="shared" si="122"/>
        <v>100988</v>
      </c>
      <c r="Z30" s="83">
        <f t="shared" si="122"/>
        <v>26983.827991347942</v>
      </c>
      <c r="AA30" s="83">
        <f t="shared" si="122"/>
        <v>28852.346695591532</v>
      </c>
      <c r="AB30" s="83">
        <f t="shared" si="122"/>
        <v>27332.704264071916</v>
      </c>
      <c r="AC30" s="83">
        <f t="shared" si="122"/>
        <v>29635.250613116204</v>
      </c>
      <c r="AD30" s="83">
        <f t="shared" si="122"/>
        <v>112804.12956412756</v>
      </c>
      <c r="AE30" s="83">
        <f t="shared" si="122"/>
        <v>130500.68873473613</v>
      </c>
      <c r="AF30" s="83">
        <f t="shared" si="122"/>
        <v>140682.07969280699</v>
      </c>
      <c r="AG30" s="83">
        <f t="shared" si="122"/>
        <v>165368.6867111754</v>
      </c>
      <c r="AH30" s="83">
        <f t="shared" si="122"/>
        <v>185811.78410184773</v>
      </c>
      <c r="AI30" s="83">
        <f t="shared" si="122"/>
        <v>201324.73121957487</v>
      </c>
      <c r="AJ30" s="65"/>
      <c r="AK30" s="65"/>
      <c r="AL30" s="65"/>
      <c r="AM30" s="65"/>
      <c r="AN30" s="65"/>
    </row>
    <row r="31" spans="1:40" ht="15.75" customHeight="1" thickTop="1" x14ac:dyDescent="0.2">
      <c r="A31" s="3"/>
      <c r="B31" s="2"/>
      <c r="C31" s="2"/>
      <c r="D31" s="2"/>
      <c r="E31" s="74"/>
      <c r="F31" s="21"/>
      <c r="G31" s="21"/>
      <c r="H31" s="21"/>
      <c r="W31" s="63"/>
      <c r="X31" s="63"/>
      <c r="Y31" s="63"/>
      <c r="Z31" s="63"/>
      <c r="AA31" s="21"/>
      <c r="AB31" s="21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</row>
    <row r="32" spans="1:40" ht="15.75" customHeight="1" x14ac:dyDescent="0.2">
      <c r="A32" s="3"/>
      <c r="B32" s="2"/>
      <c r="C32" s="2" t="s">
        <v>75</v>
      </c>
      <c r="D32" s="2"/>
      <c r="E32" s="74"/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23"/>
      <c r="AK32" s="23"/>
      <c r="AL32" s="23"/>
      <c r="AM32" s="23"/>
      <c r="AN32" s="23"/>
    </row>
    <row r="33" spans="1:40" ht="15.75" customHeight="1" x14ac:dyDescent="0.2">
      <c r="A33" s="3"/>
      <c r="B33" s="2"/>
      <c r="C33" s="2" t="s">
        <v>76</v>
      </c>
      <c r="D33" s="2"/>
      <c r="E33" s="74"/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23"/>
      <c r="AK33" s="23"/>
      <c r="AL33" s="23"/>
      <c r="AM33" s="23"/>
      <c r="AN33" s="23"/>
    </row>
    <row r="34" spans="1:40" ht="15.75" customHeight="1" thickBot="1" x14ac:dyDescent="0.25">
      <c r="A34" s="3"/>
      <c r="B34" s="9" t="s">
        <v>77</v>
      </c>
      <c r="C34" s="9"/>
      <c r="D34" s="9"/>
      <c r="E34" s="75"/>
      <c r="F34" s="61">
        <f>SUM(F32,F33,F30)</f>
        <v>12623</v>
      </c>
      <c r="G34" s="61">
        <f t="shared" ref="G34:AI34" si="123">SUM(G32,G33,G30)</f>
        <v>12123</v>
      </c>
      <c r="H34" s="61">
        <f t="shared" si="123"/>
        <v>12119</v>
      </c>
      <c r="I34" s="61">
        <f t="shared" si="123"/>
        <v>10892</v>
      </c>
      <c r="J34" s="61">
        <f t="shared" si="123"/>
        <v>47757</v>
      </c>
      <c r="K34" s="61">
        <f t="shared" si="123"/>
        <v>14210</v>
      </c>
      <c r="L34" s="61">
        <f t="shared" si="123"/>
        <v>13318</v>
      </c>
      <c r="M34" s="61">
        <f t="shared" si="123"/>
        <v>14405</v>
      </c>
      <c r="N34" s="61">
        <f t="shared" si="123"/>
        <v>13592</v>
      </c>
      <c r="O34" s="61">
        <f t="shared" si="123"/>
        <v>55525</v>
      </c>
      <c r="P34" s="61">
        <f t="shared" si="123"/>
        <v>19814</v>
      </c>
      <c r="Q34" s="61">
        <f t="shared" si="123"/>
        <v>19428</v>
      </c>
      <c r="R34" s="61">
        <f t="shared" si="123"/>
        <v>22478</v>
      </c>
      <c r="S34" s="61">
        <f t="shared" si="123"/>
        <v>21963</v>
      </c>
      <c r="T34" s="61">
        <f t="shared" si="123"/>
        <v>83683</v>
      </c>
      <c r="U34" s="61">
        <f t="shared" si="123"/>
        <v>25407</v>
      </c>
      <c r="V34" s="61">
        <f t="shared" si="123"/>
        <v>20050</v>
      </c>
      <c r="W34" s="61">
        <f t="shared" si="123"/>
        <v>27301</v>
      </c>
      <c r="X34" s="61">
        <f t="shared" si="123"/>
        <v>28230</v>
      </c>
      <c r="Y34" s="61">
        <f t="shared" si="123"/>
        <v>100988</v>
      </c>
      <c r="Z34" s="61">
        <f t="shared" si="123"/>
        <v>26983.827991347942</v>
      </c>
      <c r="AA34" s="61">
        <f t="shared" si="123"/>
        <v>28852.346695591532</v>
      </c>
      <c r="AB34" s="61">
        <f t="shared" si="123"/>
        <v>27332.704264071916</v>
      </c>
      <c r="AC34" s="61">
        <f t="shared" si="123"/>
        <v>29635.250613116204</v>
      </c>
      <c r="AD34" s="61">
        <f t="shared" si="123"/>
        <v>112804.12956412756</v>
      </c>
      <c r="AE34" s="61">
        <f t="shared" si="123"/>
        <v>130500.68873473613</v>
      </c>
      <c r="AF34" s="61">
        <f t="shared" si="123"/>
        <v>140682.07969280699</v>
      </c>
      <c r="AG34" s="61">
        <f t="shared" si="123"/>
        <v>165368.6867111754</v>
      </c>
      <c r="AH34" s="61">
        <f t="shared" si="123"/>
        <v>185811.78410184773</v>
      </c>
      <c r="AI34" s="61">
        <f t="shared" si="123"/>
        <v>201324.73121957487</v>
      </c>
      <c r="AJ34" s="65"/>
      <c r="AK34" s="65"/>
      <c r="AL34" s="65"/>
      <c r="AM34" s="65"/>
      <c r="AN34" s="65"/>
    </row>
    <row r="35" spans="1:40" ht="15.75" customHeight="1" thickTop="1" x14ac:dyDescent="0.2">
      <c r="A35" s="3"/>
      <c r="B35" s="2"/>
      <c r="C35" s="2" t="s">
        <v>69</v>
      </c>
      <c r="D35" s="2"/>
      <c r="E35" s="72"/>
      <c r="F35" s="76">
        <f>F34/F5</f>
        <v>0.37341734705951957</v>
      </c>
      <c r="G35" s="76">
        <f t="shared" ref="G35:AI35" si="124">G34/G5</f>
        <v>0.36690778124148787</v>
      </c>
      <c r="H35" s="76">
        <f t="shared" si="124"/>
        <v>0.34021110549660322</v>
      </c>
      <c r="I35" s="76">
        <f t="shared" si="124"/>
        <v>0.28414160123131504</v>
      </c>
      <c r="J35" s="76">
        <f t="shared" si="124"/>
        <v>0.33918323863636363</v>
      </c>
      <c r="K35" s="76">
        <f t="shared" si="124"/>
        <v>0.33808379529394972</v>
      </c>
      <c r="L35" s="76">
        <f t="shared" si="124"/>
        <v>0.32274324488064948</v>
      </c>
      <c r="M35" s="76">
        <f t="shared" si="124"/>
        <v>0.31613483737874731</v>
      </c>
      <c r="N35" s="76">
        <f t="shared" si="124"/>
        <v>0.28262496880978127</v>
      </c>
      <c r="O35" s="76">
        <f t="shared" si="124"/>
        <v>0.31378388611665242</v>
      </c>
      <c r="P35" s="76">
        <f t="shared" si="124"/>
        <v>0.37127813068000826</v>
      </c>
      <c r="Q35" s="76">
        <f t="shared" si="124"/>
        <v>0.35779005524861879</v>
      </c>
      <c r="R35" s="76">
        <f t="shared" si="124"/>
        <v>0.3827280311930667</v>
      </c>
      <c r="S35" s="76">
        <f t="shared" si="124"/>
        <v>0.33346491960584851</v>
      </c>
      <c r="T35" s="76">
        <f t="shared" si="124"/>
        <v>0.3602972517986231</v>
      </c>
      <c r="U35" s="76">
        <f t="shared" si="124"/>
        <v>0.38878942294449798</v>
      </c>
      <c r="V35" s="76">
        <f t="shared" si="124"/>
        <v>0.29460166328719622</v>
      </c>
      <c r="W35" s="76">
        <f t="shared" si="124"/>
        <v>0.38288174576461348</v>
      </c>
      <c r="X35" s="76">
        <f t="shared" si="124"/>
        <v>0.32950871336360349</v>
      </c>
      <c r="Y35" s="76">
        <f t="shared" si="124"/>
        <v>0.34777398203757781</v>
      </c>
      <c r="Z35" s="76">
        <f t="shared" si="124"/>
        <v>0.33666601195391477</v>
      </c>
      <c r="AA35" s="76">
        <f t="shared" si="124"/>
        <v>0.33817027950742889</v>
      </c>
      <c r="AB35" s="76">
        <f t="shared" si="124"/>
        <v>0.30219805285711843</v>
      </c>
      <c r="AC35" s="76">
        <f t="shared" si="124"/>
        <v>0.3039091207777096</v>
      </c>
      <c r="AD35" s="76">
        <f t="shared" si="124"/>
        <v>0.31917056584947495</v>
      </c>
      <c r="AE35" s="76">
        <f t="shared" si="124"/>
        <v>0.3202831692155253</v>
      </c>
      <c r="AF35" s="76">
        <f t="shared" si="124"/>
        <v>0.32277348805740541</v>
      </c>
      <c r="AG35" s="76">
        <f t="shared" si="124"/>
        <v>0.36632997703842185</v>
      </c>
      <c r="AH35" s="76">
        <f t="shared" si="124"/>
        <v>0.3941453554479995</v>
      </c>
      <c r="AI35" s="76">
        <f t="shared" si="124"/>
        <v>0.3977875516994166</v>
      </c>
      <c r="AJ35" s="64"/>
      <c r="AK35" s="64"/>
      <c r="AL35" s="64"/>
      <c r="AM35" s="64"/>
      <c r="AN35" s="64"/>
    </row>
    <row r="36" spans="1:40" ht="15.75" customHeight="1" x14ac:dyDescent="0.2">
      <c r="A36" s="3"/>
      <c r="B36" s="10"/>
      <c r="C36" s="2"/>
      <c r="D36" s="2"/>
      <c r="E36" s="74"/>
      <c r="F36" s="21"/>
      <c r="G36" s="21"/>
      <c r="H36" s="21"/>
      <c r="W36" s="63"/>
      <c r="X36" s="63"/>
      <c r="Y36" s="63"/>
      <c r="Z36" s="63"/>
      <c r="AA36" s="21"/>
      <c r="AB36" s="21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</row>
    <row r="37" spans="1:40" ht="15.75" customHeight="1" x14ac:dyDescent="0.2">
      <c r="A37" s="3"/>
      <c r="B37" s="2" t="s">
        <v>78</v>
      </c>
      <c r="C37" s="2"/>
      <c r="D37" s="2"/>
      <c r="E37" s="74"/>
      <c r="F37" s="50">
        <v>4631.2</v>
      </c>
      <c r="G37" s="50">
        <v>4612.6000000000004</v>
      </c>
      <c r="H37" s="50">
        <v>4594.6000000000004</v>
      </c>
      <c r="I37" s="51">
        <v>4581.2</v>
      </c>
      <c r="J37" s="51">
        <v>4604.8999999999996</v>
      </c>
      <c r="K37" s="51">
        <v>4566.6000000000004</v>
      </c>
      <c r="L37" s="51">
        <v>4552.2</v>
      </c>
      <c r="M37" s="51">
        <v>4537</v>
      </c>
      <c r="N37" s="51">
        <v>4522.6000000000022</v>
      </c>
      <c r="O37" s="51">
        <v>4544.6000000000004</v>
      </c>
      <c r="P37" s="51">
        <v>4513.2</v>
      </c>
      <c r="Q37" s="51">
        <v>4502.6000000000004</v>
      </c>
      <c r="R37" s="51">
        <v>4489</v>
      </c>
      <c r="S37" s="51">
        <v>4477.3999999999996</v>
      </c>
      <c r="T37" s="51">
        <v>4495.5499999999993</v>
      </c>
      <c r="U37" s="51">
        <v>4470.5</v>
      </c>
      <c r="V37" s="51">
        <v>4465.3999999999996</v>
      </c>
      <c r="W37" s="91">
        <v>4460.5</v>
      </c>
      <c r="X37" s="91">
        <v>4455.5</v>
      </c>
      <c r="Y37" s="44">
        <v>4462.9750000000004</v>
      </c>
      <c r="Z37" s="91">
        <v>4451.2906118020001</v>
      </c>
      <c r="AA37" s="50">
        <v>4452.5038376651801</v>
      </c>
      <c r="AB37" s="50">
        <v>4452.9490880489466</v>
      </c>
      <c r="AC37" s="91">
        <v>4453.3943829577511</v>
      </c>
      <c r="AD37" s="91">
        <v>4452.5413797871988</v>
      </c>
      <c r="AE37" s="91">
        <v>4454.5121140652082</v>
      </c>
      <c r="AF37" s="91">
        <v>4456.2898353465434</v>
      </c>
      <c r="AG37" s="44">
        <v>4458.0723512806817</v>
      </c>
      <c r="AH37" s="91">
        <v>4459.8555802211931</v>
      </c>
      <c r="AI37" s="91">
        <v>4461.6395224532807</v>
      </c>
      <c r="AJ37" s="91"/>
      <c r="AK37" s="91"/>
      <c r="AL37" s="44"/>
      <c r="AM37" s="68"/>
      <c r="AN37" s="68"/>
    </row>
    <row r="38" spans="1:40" ht="15.75" customHeight="1" thickBot="1" x14ac:dyDescent="0.25">
      <c r="A38" s="3"/>
      <c r="B38" s="9" t="s">
        <v>79</v>
      </c>
      <c r="C38" s="57"/>
      <c r="D38" s="57"/>
      <c r="E38" s="75"/>
      <c r="F38" s="92">
        <f>F34/F37</f>
        <v>2.7256434617377785</v>
      </c>
      <c r="G38" s="92">
        <f t="shared" ref="G38:AI38" si="125">G34/G37</f>
        <v>2.628235702206998</v>
      </c>
      <c r="H38" s="92">
        <f t="shared" si="125"/>
        <v>2.6376616027510553</v>
      </c>
      <c r="I38" s="92">
        <f t="shared" si="125"/>
        <v>2.377543001833581</v>
      </c>
      <c r="J38" s="92">
        <f t="shared" si="125"/>
        <v>10.370909248843624</v>
      </c>
      <c r="K38" s="92">
        <f t="shared" si="125"/>
        <v>3.1117242587483025</v>
      </c>
      <c r="L38" s="92">
        <f t="shared" si="125"/>
        <v>2.9256183823206361</v>
      </c>
      <c r="M38" s="92">
        <f t="shared" si="125"/>
        <v>3.1750055102490631</v>
      </c>
      <c r="N38" s="92">
        <f t="shared" si="125"/>
        <v>3.0053509043470554</v>
      </c>
      <c r="O38" s="92">
        <f t="shared" si="125"/>
        <v>12.217796945825814</v>
      </c>
      <c r="P38" s="92">
        <f t="shared" si="125"/>
        <v>4.3902330940352741</v>
      </c>
      <c r="Q38" s="92">
        <f t="shared" si="125"/>
        <v>4.3148403144849636</v>
      </c>
      <c r="R38" s="92">
        <f t="shared" si="125"/>
        <v>5.0073513031855645</v>
      </c>
      <c r="S38" s="92">
        <f t="shared" si="125"/>
        <v>4.905302184303391</v>
      </c>
      <c r="T38" s="92">
        <f t="shared" si="125"/>
        <v>18.614630023022769</v>
      </c>
      <c r="U38" s="92">
        <f t="shared" si="125"/>
        <v>5.6832569063863101</v>
      </c>
      <c r="V38" s="92">
        <f t="shared" si="125"/>
        <v>4.4900792762126578</v>
      </c>
      <c r="W38" s="92">
        <f t="shared" si="125"/>
        <v>6.1206142809102122</v>
      </c>
      <c r="X38" s="92">
        <f t="shared" si="125"/>
        <v>6.3359892267983389</v>
      </c>
      <c r="Y38" s="92">
        <f t="shared" si="125"/>
        <v>22.62795556775469</v>
      </c>
      <c r="Z38" s="92">
        <f t="shared" si="125"/>
        <v>6.062023431991598</v>
      </c>
      <c r="AA38" s="92">
        <f t="shared" si="125"/>
        <v>6.4800273615757797</v>
      </c>
      <c r="AB38" s="92">
        <f t="shared" si="125"/>
        <v>6.1381129053168006</v>
      </c>
      <c r="AC38" s="92">
        <f t="shared" si="125"/>
        <v>6.6545309183764134</v>
      </c>
      <c r="AD38" s="92">
        <f t="shared" si="125"/>
        <v>25.334773995860953</v>
      </c>
      <c r="AE38" s="92">
        <f t="shared" si="125"/>
        <v>29.296292252226159</v>
      </c>
      <c r="AF38" s="92">
        <f t="shared" si="125"/>
        <v>31.569328946456835</v>
      </c>
      <c r="AG38" s="92">
        <f t="shared" si="125"/>
        <v>37.094213301331799</v>
      </c>
      <c r="AH38" s="92">
        <f t="shared" si="125"/>
        <v>41.663184100825106</v>
      </c>
      <c r="AI38" s="92">
        <f t="shared" si="125"/>
        <v>45.123486603165617</v>
      </c>
      <c r="AJ38" s="46"/>
      <c r="AK38" s="46"/>
      <c r="AL38" s="46"/>
      <c r="AM38" s="69"/>
      <c r="AN38" s="69"/>
    </row>
    <row r="39" spans="1:40" ht="15.75" customHeight="1" thickTop="1" x14ac:dyDescent="0.2">
      <c r="A39" s="3"/>
      <c r="B39" s="7"/>
      <c r="C39" s="8" t="s">
        <v>29</v>
      </c>
      <c r="D39" s="8"/>
      <c r="E39" s="71"/>
      <c r="F39" s="50"/>
      <c r="G39" s="50"/>
      <c r="H39" s="50"/>
      <c r="I39" s="51"/>
      <c r="J39" s="51"/>
      <c r="K39" s="62">
        <f>K38/F38-1</f>
        <v>0.14164757879387935</v>
      </c>
      <c r="L39" s="62">
        <f t="shared" ref="L39" si="126">L38/G38-1</f>
        <v>0.1131491668969864</v>
      </c>
      <c r="M39" s="62">
        <f t="shared" ref="M39" si="127">M38/H38-1</f>
        <v>0.20371980504912512</v>
      </c>
      <c r="N39" s="62">
        <f t="shared" ref="N39" si="128">N38/I38-1</f>
        <v>0.26405743325328035</v>
      </c>
      <c r="O39" s="62">
        <f t="shared" ref="O39" si="129">O38/J38-1</f>
        <v>0.17808348840658517</v>
      </c>
      <c r="P39" s="62">
        <f t="shared" ref="P39" si="130">P38/K38-1</f>
        <v>0.41086829325978069</v>
      </c>
      <c r="Q39" s="62">
        <f t="shared" ref="Q39" si="131">Q38/L38-1</f>
        <v>0.47484728034227741</v>
      </c>
      <c r="R39" s="62">
        <f t="shared" ref="R39" si="132">R38/M38-1</f>
        <v>0.57711578358576232</v>
      </c>
      <c r="S39" s="62">
        <f t="shared" ref="S39" si="133">S38/N38-1</f>
        <v>0.6321894981408569</v>
      </c>
      <c r="T39" s="62">
        <f t="shared" ref="T39" si="134">T38/O38-1</f>
        <v>0.52356681859755572</v>
      </c>
      <c r="U39" s="62">
        <f t="shared" ref="U39" si="135">U38/P38-1</f>
        <v>0.29452281568096783</v>
      </c>
      <c r="V39" s="62">
        <f t="shared" ref="V39" si="136">V38/Q38-1</f>
        <v>4.0613081587148159E-2</v>
      </c>
      <c r="W39" s="62">
        <f t="shared" ref="W39" si="137">W38/R38-1</f>
        <v>0.22232571879197183</v>
      </c>
      <c r="X39" s="62">
        <f t="shared" ref="X39" si="138">X38/S38-1</f>
        <v>0.29166134699571455</v>
      </c>
      <c r="Y39" s="62">
        <f t="shared" ref="Y39" si="139">Y38/T38-1</f>
        <v>0.21560060768160305</v>
      </c>
      <c r="Z39" s="62">
        <f t="shared" ref="Z39" si="140">Z38/U38-1</f>
        <v>6.6646032696439539E-2</v>
      </c>
      <c r="AA39" s="62">
        <f t="shared" ref="AA39" si="141">AA38/V38-1</f>
        <v>0.44318773966984959</v>
      </c>
      <c r="AB39" s="62">
        <f t="shared" ref="AB39" si="142">AB38/W38-1</f>
        <v>2.8589653919486313E-3</v>
      </c>
      <c r="AC39" s="62">
        <f t="shared" ref="AC39" si="143">AC38/X38-1</f>
        <v>5.0274973674321988E-2</v>
      </c>
      <c r="AD39" s="62">
        <f t="shared" ref="AD39" si="144">AD38/Y38-1</f>
        <v>0.11962275690356838</v>
      </c>
      <c r="AE39" s="62">
        <f>AE38/AD38-1</f>
        <v>0.15636682833691018</v>
      </c>
      <c r="AF39" s="62">
        <f t="shared" ref="AF39" si="145">AF38/AE38-1</f>
        <v>7.7587862472868085E-2</v>
      </c>
      <c r="AG39" s="62">
        <f t="shared" ref="AG39" si="146">AG38/AF38-1</f>
        <v>0.17500797575537463</v>
      </c>
      <c r="AH39" s="62">
        <f t="shared" ref="AH39" si="147">AH38/AG38-1</f>
        <v>0.12317206358786059</v>
      </c>
      <c r="AI39" s="62">
        <f t="shared" ref="AI39" si="148">AI38/AH38-1</f>
        <v>8.3054201857605481E-2</v>
      </c>
      <c r="AJ39" s="45"/>
      <c r="AK39" s="45"/>
      <c r="AL39" s="45"/>
      <c r="AM39" s="62"/>
      <c r="AN39" s="62"/>
    </row>
    <row r="40" spans="1:40" ht="15.75" customHeight="1" x14ac:dyDescent="0.2">
      <c r="A40" s="3"/>
      <c r="B40" s="2"/>
      <c r="C40" s="2"/>
      <c r="D40" s="2"/>
      <c r="E40" s="72"/>
      <c r="F40" s="50"/>
      <c r="G40" s="50"/>
      <c r="H40" s="50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44"/>
      <c r="X40" s="44"/>
      <c r="Y40" s="44"/>
      <c r="Z40" s="44"/>
      <c r="AA40" s="50"/>
      <c r="AB40" s="50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63"/>
      <c r="AN40" s="63"/>
    </row>
    <row r="41" spans="1:40" ht="15.75" customHeight="1" x14ac:dyDescent="0.2">
      <c r="A41" s="3"/>
      <c r="B41" s="2" t="s">
        <v>80</v>
      </c>
      <c r="C41" s="2"/>
      <c r="D41" s="2"/>
      <c r="E41" s="72"/>
      <c r="F41" s="50"/>
      <c r="G41" s="50"/>
      <c r="H41" s="50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44"/>
      <c r="X41" s="44"/>
      <c r="Y41" s="44"/>
      <c r="Z41" s="44"/>
      <c r="AA41" s="50"/>
      <c r="AB41" s="50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23"/>
      <c r="AN41" s="23"/>
    </row>
    <row r="42" spans="1:40" ht="15.75" customHeight="1" x14ac:dyDescent="0.2">
      <c r="A42" s="8"/>
      <c r="B42" s="2"/>
      <c r="C42" s="2" t="s">
        <v>81</v>
      </c>
      <c r="D42" s="2"/>
      <c r="E42" s="72"/>
      <c r="F42" s="50"/>
      <c r="G42" s="50"/>
      <c r="H42" s="50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44"/>
      <c r="X42" s="44"/>
      <c r="Y42" s="44"/>
      <c r="Z42" s="44"/>
      <c r="AA42" s="50"/>
      <c r="AB42" s="50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23"/>
      <c r="AN42" s="23"/>
    </row>
    <row r="43" spans="1:40" ht="15.75" customHeight="1" x14ac:dyDescent="0.2">
      <c r="A43" s="3"/>
      <c r="B43" s="10" t="s">
        <v>82</v>
      </c>
      <c r="C43" s="2"/>
      <c r="D43" s="2"/>
      <c r="E43" s="74"/>
      <c r="F43" s="50">
        <f>F20</f>
        <v>14982</v>
      </c>
      <c r="G43" s="50">
        <f t="shared" ref="G43:AI43" si="149">G20</f>
        <v>14779</v>
      </c>
      <c r="H43" s="50">
        <f t="shared" si="149"/>
        <v>15249</v>
      </c>
      <c r="I43" s="50">
        <f t="shared" si="149"/>
        <v>13634</v>
      </c>
      <c r="J43" s="50">
        <f t="shared" si="149"/>
        <v>58644</v>
      </c>
      <c r="K43" s="50">
        <f t="shared" si="149"/>
        <v>19147</v>
      </c>
      <c r="L43" s="50">
        <f t="shared" si="149"/>
        <v>18391</v>
      </c>
      <c r="M43" s="50">
        <f t="shared" si="149"/>
        <v>20184</v>
      </c>
      <c r="N43" s="50">
        <f t="shared" si="149"/>
        <v>17087</v>
      </c>
      <c r="O43" s="50">
        <f t="shared" si="149"/>
        <v>74808</v>
      </c>
      <c r="P43" s="50">
        <f t="shared" si="149"/>
        <v>25007</v>
      </c>
      <c r="Q43" s="50">
        <f t="shared" si="149"/>
        <v>23888</v>
      </c>
      <c r="R43" s="50">
        <f t="shared" si="149"/>
        <v>26913</v>
      </c>
      <c r="S43" s="50">
        <f t="shared" si="149"/>
        <v>26766</v>
      </c>
      <c r="T43" s="50">
        <f t="shared" si="149"/>
        <v>102574</v>
      </c>
      <c r="U43" s="50">
        <f t="shared" si="149"/>
        <v>31846</v>
      </c>
      <c r="V43" s="50">
        <f t="shared" si="149"/>
        <v>25932</v>
      </c>
      <c r="W43" s="50">
        <f t="shared" si="149"/>
        <v>33815</v>
      </c>
      <c r="X43" s="50">
        <f t="shared" si="149"/>
        <v>36727</v>
      </c>
      <c r="Y43" s="50">
        <f t="shared" si="149"/>
        <v>128320</v>
      </c>
      <c r="Z43" s="50">
        <f t="shared" si="149"/>
        <v>36857.696859999996</v>
      </c>
      <c r="AA43" s="50">
        <f t="shared" si="149"/>
        <v>39280.436630000004</v>
      </c>
      <c r="AB43" s="50">
        <f t="shared" si="149"/>
        <v>36451.003061999989</v>
      </c>
      <c r="AC43" s="50">
        <f t="shared" si="149"/>
        <v>39318.429192000003</v>
      </c>
      <c r="AD43" s="50">
        <f t="shared" si="149"/>
        <v>151907.56574399996</v>
      </c>
      <c r="AE43" s="50">
        <f t="shared" si="149"/>
        <v>164229.61142630005</v>
      </c>
      <c r="AF43" s="50">
        <f t="shared" si="149"/>
        <v>175642.23505568106</v>
      </c>
      <c r="AG43" s="50">
        <f t="shared" si="149"/>
        <v>204496.39730114242</v>
      </c>
      <c r="AH43" s="50">
        <f t="shared" si="149"/>
        <v>227708.90386991462</v>
      </c>
      <c r="AI43" s="50">
        <f t="shared" si="149"/>
        <v>244429.91837862006</v>
      </c>
      <c r="AJ43" s="46"/>
      <c r="AK43" s="46"/>
      <c r="AL43" s="46"/>
      <c r="AM43" s="32"/>
      <c r="AN43" s="32"/>
    </row>
    <row r="44" spans="1:40" ht="15.75" customHeight="1" x14ac:dyDescent="0.2">
      <c r="A44" s="3"/>
      <c r="B44" s="2"/>
      <c r="C44" s="2" t="s">
        <v>83</v>
      </c>
      <c r="D44" s="2"/>
      <c r="E44" s="72"/>
      <c r="F44" s="50">
        <v>1120</v>
      </c>
      <c r="G44" s="50">
        <v>1110</v>
      </c>
      <c r="H44" s="50">
        <v>1220</v>
      </c>
      <c r="I44" s="51">
        <v>1861</v>
      </c>
      <c r="J44" s="51">
        <v>5311</v>
      </c>
      <c r="K44" s="51">
        <v>1500</v>
      </c>
      <c r="L44" s="51">
        <v>1500</v>
      </c>
      <c r="M44" s="51">
        <v>1700</v>
      </c>
      <c r="N44" s="51">
        <v>1853</v>
      </c>
      <c r="O44" s="51">
        <v>6553</v>
      </c>
      <c r="P44" s="51">
        <v>1700</v>
      </c>
      <c r="Q44" s="51">
        <v>1750</v>
      </c>
      <c r="R44" s="51">
        <v>1850</v>
      </c>
      <c r="S44" s="51">
        <v>1989</v>
      </c>
      <c r="T44" s="51">
        <v>7289</v>
      </c>
      <c r="U44" s="51">
        <v>2000</v>
      </c>
      <c r="V44" s="51">
        <v>2000</v>
      </c>
      <c r="W44" s="44">
        <v>2000</v>
      </c>
      <c r="X44" s="44">
        <v>2545</v>
      </c>
      <c r="Y44" s="44">
        <v>8545</v>
      </c>
      <c r="Z44" s="44">
        <v>3973.8624657534247</v>
      </c>
      <c r="AA44" s="50">
        <v>4218.0277568624506</v>
      </c>
      <c r="AB44" s="50">
        <v>4462.5815881815997</v>
      </c>
      <c r="AC44" s="44">
        <v>4656.7684584287399</v>
      </c>
      <c r="AD44" s="44">
        <v>17311.240269226215</v>
      </c>
      <c r="AE44" s="44">
        <v>20351.130112548315</v>
      </c>
      <c r="AF44" s="44">
        <v>22147.690161237009</v>
      </c>
      <c r="AG44" s="44">
        <v>24943.431588953983</v>
      </c>
      <c r="AH44" s="44">
        <v>27553.682759459487</v>
      </c>
      <c r="AI44" s="44">
        <v>29990.688892692757</v>
      </c>
      <c r="AJ44" s="44"/>
      <c r="AK44" s="44"/>
      <c r="AL44" s="44"/>
      <c r="AM44" s="23"/>
      <c r="AN44" s="23"/>
    </row>
    <row r="45" spans="1:40" ht="15.75" customHeight="1" x14ac:dyDescent="0.2">
      <c r="A45" s="3"/>
      <c r="B45" s="2"/>
      <c r="C45" s="2" t="s">
        <v>90</v>
      </c>
      <c r="D45" s="2"/>
      <c r="E45" s="72"/>
      <c r="F45" s="50">
        <v>257</v>
      </c>
      <c r="G45" s="50">
        <v>107</v>
      </c>
      <c r="H45" s="50">
        <v>129</v>
      </c>
      <c r="I45" s="51">
        <v>221</v>
      </c>
      <c r="J45" s="51">
        <v>714</v>
      </c>
      <c r="K45" s="51">
        <v>150</v>
      </c>
      <c r="L45" s="51">
        <v>136</v>
      </c>
      <c r="M45" s="51">
        <v>341</v>
      </c>
      <c r="N45" s="51">
        <v>182</v>
      </c>
      <c r="O45" s="51">
        <v>809</v>
      </c>
      <c r="P45" s="51">
        <v>19</v>
      </c>
      <c r="Q45" s="51">
        <v>427</v>
      </c>
      <c r="R45" s="51">
        <v>675</v>
      </c>
      <c r="S45" s="51">
        <v>1003</v>
      </c>
      <c r="T45" s="51">
        <v>2124</v>
      </c>
      <c r="U45" s="51">
        <v>914</v>
      </c>
      <c r="V45" s="51">
        <v>6845</v>
      </c>
      <c r="W45" s="44">
        <v>150</v>
      </c>
      <c r="X45" s="44">
        <v>2653</v>
      </c>
      <c r="Y45" s="44">
        <v>10562</v>
      </c>
      <c r="Z45" s="44">
        <v>0</v>
      </c>
      <c r="AA45" s="50">
        <v>0</v>
      </c>
      <c r="AB45" s="50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/>
      <c r="AK45" s="44"/>
      <c r="AL45" s="44"/>
      <c r="AM45" s="23"/>
      <c r="AN45" s="23"/>
    </row>
    <row r="46" spans="1:40" ht="15.75" customHeight="1" x14ac:dyDescent="0.2">
      <c r="A46" s="3"/>
      <c r="B46" s="59" t="s">
        <v>84</v>
      </c>
      <c r="C46" s="59"/>
      <c r="D46" s="59"/>
      <c r="E46" s="73"/>
      <c r="F46" s="50">
        <f>SUM(F43:F45)</f>
        <v>16359</v>
      </c>
      <c r="G46" s="50">
        <f t="shared" ref="G46:AI46" si="150">SUM(G43:G45)</f>
        <v>15996</v>
      </c>
      <c r="H46" s="50">
        <f t="shared" si="150"/>
        <v>16598</v>
      </c>
      <c r="I46" s="50">
        <f t="shared" si="150"/>
        <v>15716</v>
      </c>
      <c r="J46" s="50">
        <f t="shared" si="150"/>
        <v>64669</v>
      </c>
      <c r="K46" s="50">
        <f t="shared" si="150"/>
        <v>20797</v>
      </c>
      <c r="L46" s="50">
        <f t="shared" si="150"/>
        <v>20027</v>
      </c>
      <c r="M46" s="50">
        <f t="shared" si="150"/>
        <v>22225</v>
      </c>
      <c r="N46" s="50">
        <f t="shared" si="150"/>
        <v>19122</v>
      </c>
      <c r="O46" s="50">
        <f t="shared" si="150"/>
        <v>82170</v>
      </c>
      <c r="P46" s="50">
        <f t="shared" si="150"/>
        <v>26726</v>
      </c>
      <c r="Q46" s="50">
        <f t="shared" si="150"/>
        <v>26065</v>
      </c>
      <c r="R46" s="50">
        <f t="shared" si="150"/>
        <v>29438</v>
      </c>
      <c r="S46" s="50">
        <f t="shared" si="150"/>
        <v>29758</v>
      </c>
      <c r="T46" s="50">
        <f t="shared" si="150"/>
        <v>111987</v>
      </c>
      <c r="U46" s="50">
        <f t="shared" si="150"/>
        <v>34760</v>
      </c>
      <c r="V46" s="50">
        <f t="shared" si="150"/>
        <v>34777</v>
      </c>
      <c r="W46" s="50">
        <f t="shared" si="150"/>
        <v>35965</v>
      </c>
      <c r="X46" s="50">
        <f t="shared" si="150"/>
        <v>41925</v>
      </c>
      <c r="Y46" s="50">
        <f t="shared" si="150"/>
        <v>147427</v>
      </c>
      <c r="Z46" s="50">
        <f t="shared" si="150"/>
        <v>40831.55932575342</v>
      </c>
      <c r="AA46" s="50">
        <f t="shared" si="150"/>
        <v>43498.464386862455</v>
      </c>
      <c r="AB46" s="50">
        <f t="shared" si="150"/>
        <v>40913.58465018159</v>
      </c>
      <c r="AC46" s="50">
        <f t="shared" si="150"/>
        <v>43975.197650428745</v>
      </c>
      <c r="AD46" s="50">
        <f t="shared" si="150"/>
        <v>169218.80601322619</v>
      </c>
      <c r="AE46" s="50">
        <f t="shared" si="150"/>
        <v>184580.74153884838</v>
      </c>
      <c r="AF46" s="50">
        <f t="shared" si="150"/>
        <v>197789.92521691805</v>
      </c>
      <c r="AG46" s="50">
        <f t="shared" si="150"/>
        <v>229439.8288900964</v>
      </c>
      <c r="AH46" s="50">
        <f t="shared" si="150"/>
        <v>255262.5866293741</v>
      </c>
      <c r="AI46" s="50">
        <f t="shared" si="150"/>
        <v>274420.60727131279</v>
      </c>
      <c r="AJ46" s="46"/>
      <c r="AK46" s="46"/>
      <c r="AL46" s="46"/>
      <c r="AM46" s="65"/>
      <c r="AN46" s="65"/>
    </row>
    <row r="47" spans="1:40" ht="15.75" customHeight="1" x14ac:dyDescent="0.2">
      <c r="A47" s="3"/>
      <c r="B47" s="2"/>
      <c r="C47" s="2" t="s">
        <v>69</v>
      </c>
      <c r="D47" s="2"/>
      <c r="E47" s="72"/>
      <c r="F47" s="76">
        <f>F46/F5</f>
        <v>0.48393681221157259</v>
      </c>
      <c r="G47" s="76">
        <f t="shared" ref="G47:AI47" si="151">G46/G5</f>
        <v>0.48412578311794435</v>
      </c>
      <c r="H47" s="76">
        <f t="shared" si="151"/>
        <v>0.46594800965695354</v>
      </c>
      <c r="I47" s="76">
        <f t="shared" si="151"/>
        <v>0.4099861737928156</v>
      </c>
      <c r="J47" s="76">
        <f t="shared" si="151"/>
        <v>0.45929687499999999</v>
      </c>
      <c r="K47" s="76">
        <f t="shared" si="151"/>
        <v>0.49480145606814019</v>
      </c>
      <c r="L47" s="76">
        <f t="shared" si="151"/>
        <v>0.48532654792196778</v>
      </c>
      <c r="M47" s="76">
        <f t="shared" si="151"/>
        <v>0.48775402712548832</v>
      </c>
      <c r="N47" s="76">
        <f t="shared" si="151"/>
        <v>0.3976129085918656</v>
      </c>
      <c r="O47" s="76">
        <f t="shared" si="151"/>
        <v>0.46436059292580517</v>
      </c>
      <c r="P47" s="76">
        <f t="shared" si="151"/>
        <v>0.50079637228999196</v>
      </c>
      <c r="Q47" s="76">
        <f t="shared" si="151"/>
        <v>0.48001841620626151</v>
      </c>
      <c r="R47" s="76">
        <f t="shared" si="151"/>
        <v>0.50123444177691512</v>
      </c>
      <c r="S47" s="76">
        <f t="shared" si="151"/>
        <v>0.45181664971228158</v>
      </c>
      <c r="T47" s="76">
        <f t="shared" si="151"/>
        <v>0.48216015603136125</v>
      </c>
      <c r="U47" s="76">
        <f t="shared" si="151"/>
        <v>0.53191326569649111</v>
      </c>
      <c r="V47" s="76">
        <f t="shared" si="151"/>
        <v>0.51099062564283404</v>
      </c>
      <c r="W47" s="76">
        <f t="shared" si="151"/>
        <v>0.50438965555929538</v>
      </c>
      <c r="X47" s="76">
        <f t="shared" si="151"/>
        <v>0.4893607087413771</v>
      </c>
      <c r="Y47" s="76">
        <f t="shared" si="151"/>
        <v>0.50769670505261999</v>
      </c>
      <c r="Z47" s="76">
        <f t="shared" si="151"/>
        <v>0.50943840304899557</v>
      </c>
      <c r="AA47" s="76">
        <f t="shared" si="151"/>
        <v>0.5098333253460039</v>
      </c>
      <c r="AB47" s="76">
        <f t="shared" si="151"/>
        <v>0.45235207966384466</v>
      </c>
      <c r="AC47" s="76">
        <f t="shared" si="151"/>
        <v>0.450965096547989</v>
      </c>
      <c r="AD47" s="76">
        <f t="shared" si="151"/>
        <v>0.47879153251131829</v>
      </c>
      <c r="AE47" s="76">
        <f t="shared" si="151"/>
        <v>0.45300990706938932</v>
      </c>
      <c r="AF47" s="76">
        <f t="shared" si="151"/>
        <v>0.4537986942209114</v>
      </c>
      <c r="AG47" s="76">
        <f t="shared" si="151"/>
        <v>0.50826241001603367</v>
      </c>
      <c r="AH47" s="76">
        <f t="shared" si="151"/>
        <v>0.54146492067727758</v>
      </c>
      <c r="AI47" s="76">
        <f t="shared" si="151"/>
        <v>0.5422140679937929</v>
      </c>
      <c r="AJ47" s="44"/>
      <c r="AK47" s="44"/>
      <c r="AL47" s="44"/>
      <c r="AM47" s="64"/>
      <c r="AN47" s="64"/>
    </row>
    <row r="48" spans="1:40" ht="15.75" customHeight="1" x14ac:dyDescent="0.2">
      <c r="A48" s="3"/>
      <c r="B48" s="2"/>
      <c r="C48" s="2"/>
      <c r="D48" s="23"/>
      <c r="E48" s="23"/>
      <c r="F48" s="50"/>
      <c r="G48" s="50"/>
      <c r="H48" s="50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44"/>
      <c r="X48" s="44"/>
      <c r="Y48" s="44"/>
      <c r="Z48" s="44"/>
      <c r="AA48" s="50"/>
      <c r="AB48" s="50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23"/>
      <c r="AN48" s="23"/>
    </row>
    <row r="49" spans="1:40" ht="15.75" customHeight="1" x14ac:dyDescent="0.2">
      <c r="A49" s="2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51"/>
      <c r="S49" s="51"/>
      <c r="T49" s="51"/>
      <c r="U49" s="51"/>
      <c r="V49" s="51"/>
      <c r="W49" s="46"/>
      <c r="X49" s="46"/>
      <c r="Y49" s="46"/>
      <c r="Z49" s="46"/>
      <c r="AA49" s="50"/>
      <c r="AB49" s="50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65"/>
      <c r="AN49" s="65"/>
    </row>
    <row r="50" spans="1:40" ht="15.75" customHeight="1" x14ac:dyDescent="0.2">
      <c r="A50" s="2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51"/>
      <c r="S50" s="51"/>
      <c r="T50" s="51"/>
      <c r="U50" s="51"/>
      <c r="V50" s="51"/>
      <c r="W50" s="46"/>
      <c r="X50" s="46"/>
      <c r="Y50" s="46"/>
      <c r="Z50" s="46"/>
      <c r="AA50" s="50"/>
      <c r="AB50" s="50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69"/>
      <c r="AN50" s="69"/>
    </row>
    <row r="51" spans="1:40" ht="15.75" customHeight="1" x14ac:dyDescent="0.2">
      <c r="A51" s="2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51"/>
      <c r="S51" s="51"/>
      <c r="T51" s="51"/>
      <c r="U51" s="51"/>
      <c r="V51" s="51"/>
      <c r="W51" s="46"/>
      <c r="X51" s="46"/>
      <c r="Y51" s="46"/>
      <c r="Z51" s="46"/>
      <c r="AA51" s="50"/>
      <c r="AB51" s="50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69"/>
      <c r="AN51" s="69"/>
    </row>
    <row r="52" spans="1:40" ht="15.75" customHeight="1" x14ac:dyDescent="0.2">
      <c r="A52" s="2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51"/>
      <c r="S52" s="51"/>
      <c r="T52" s="51"/>
      <c r="U52" s="51"/>
      <c r="V52" s="51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21"/>
      <c r="AN52" s="21"/>
    </row>
    <row r="53" spans="1:40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1"/>
      <c r="AL53" s="51"/>
    </row>
    <row r="54" spans="1:40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1"/>
      <c r="AL54" s="51"/>
    </row>
    <row r="55" spans="1:40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0"/>
      <c r="AE55" s="20"/>
      <c r="AF55" s="20"/>
      <c r="AG55" s="20"/>
      <c r="AH55" s="21"/>
      <c r="AI55" s="21"/>
      <c r="AJ55" s="21"/>
    </row>
    <row r="56" spans="1:40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0"/>
      <c r="AE56" s="20"/>
      <c r="AF56" s="20"/>
      <c r="AG56" s="20"/>
      <c r="AH56" s="21"/>
      <c r="AI56" s="21"/>
      <c r="AJ56" s="21"/>
    </row>
    <row r="57" spans="1:40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0"/>
      <c r="AE57" s="20"/>
      <c r="AF57" s="20"/>
      <c r="AG57" s="20"/>
      <c r="AH57" s="21"/>
      <c r="AI57" s="21"/>
      <c r="AJ57" s="21"/>
    </row>
    <row r="58" spans="1:40" ht="15.75" customHeight="1" x14ac:dyDescent="0.2">
      <c r="A58" s="2"/>
      <c r="B58" s="2"/>
      <c r="C58" s="2"/>
      <c r="D58" s="2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1"/>
      <c r="AI58" s="21"/>
      <c r="AJ58" s="21"/>
    </row>
    <row r="59" spans="1:40" ht="15.75" customHeight="1" x14ac:dyDescent="0.2">
      <c r="A59" s="2"/>
      <c r="B59" s="2"/>
      <c r="C59" s="2"/>
      <c r="D59" s="2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1"/>
      <c r="AI59" s="21"/>
      <c r="AJ59" s="21"/>
    </row>
    <row r="60" spans="1:40" ht="15.75" customHeight="1" x14ac:dyDescent="0.2">
      <c r="A60" s="2"/>
      <c r="B60" s="2"/>
      <c r="C60" s="2"/>
      <c r="D60" s="2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1"/>
      <c r="AI60" s="21"/>
      <c r="AJ60" s="21"/>
    </row>
    <row r="61" spans="1:40" ht="15.75" customHeight="1" x14ac:dyDescent="0.2">
      <c r="A61" s="2"/>
      <c r="B61" s="2"/>
      <c r="C61" s="2"/>
      <c r="D61" s="2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1"/>
      <c r="AI61" s="21"/>
      <c r="AJ61" s="21"/>
    </row>
    <row r="62" spans="1:40" ht="15.75" customHeight="1" x14ac:dyDescent="0.2">
      <c r="A62" s="2"/>
      <c r="B62" s="2"/>
      <c r="C62" s="2"/>
      <c r="D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40" ht="15.75" customHeight="1" x14ac:dyDescent="0.2">
      <c r="A63" s="2"/>
      <c r="B63" s="2"/>
      <c r="C63" s="2"/>
      <c r="D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40" ht="15.75" customHeight="1" x14ac:dyDescent="0.2">
      <c r="A64" s="2"/>
      <c r="B64" s="2"/>
      <c r="C64" s="2"/>
      <c r="D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.75" customHeight="1" x14ac:dyDescent="0.2">
      <c r="A65" s="2"/>
      <c r="B65" s="2"/>
      <c r="C65" s="2"/>
      <c r="D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.75" customHeight="1" x14ac:dyDescent="0.2">
      <c r="A66" s="2"/>
      <c r="B66" s="2"/>
      <c r="C66" s="2"/>
      <c r="D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ht="15.75" customHeight="1" x14ac:dyDescent="0.2"/>
    <row r="256" spans="1:3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pageMargins left="0.7" right="0.7" top="0.75" bottom="0.75" header="0.3" footer="0.3"/>
  <ignoredErrors>
    <ignoredError sqref="AD2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AE40-3BC8-E640-B8F2-F40FEF41CC2F}">
  <dimension ref="A1:AA46"/>
  <sheetViews>
    <sheetView zoomScale="75" workbookViewId="0">
      <selection activeCell="H37" sqref="H37"/>
    </sheetView>
  </sheetViews>
  <sheetFormatPr baseColWidth="10" defaultRowHeight="16" x14ac:dyDescent="0.2"/>
  <cols>
    <col min="1" max="1" width="12" bestFit="1" customWidth="1"/>
  </cols>
  <sheetData>
    <row r="1" spans="1:27" ht="21" x14ac:dyDescent="0.2">
      <c r="A1" s="93" t="s">
        <v>91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</row>
    <row r="2" spans="1:27" x14ac:dyDescent="0.2">
      <c r="A2" s="96"/>
      <c r="B2" s="1"/>
      <c r="C2" s="1"/>
      <c r="D2" s="1"/>
      <c r="E2" s="97">
        <v>2025</v>
      </c>
      <c r="F2" s="97">
        <v>2026</v>
      </c>
      <c r="G2" s="98">
        <f>F2+1</f>
        <v>2027</v>
      </c>
      <c r="H2" s="98">
        <f>G2+1</f>
        <v>2028</v>
      </c>
      <c r="I2" s="98">
        <f>H2+1</f>
        <v>2029</v>
      </c>
      <c r="J2" s="98">
        <f>I2+1</f>
        <v>2030</v>
      </c>
      <c r="K2" s="99" t="s">
        <v>92</v>
      </c>
      <c r="L2" s="1"/>
      <c r="M2" s="100" t="s">
        <v>93</v>
      </c>
      <c r="N2" s="4"/>
      <c r="O2" s="4"/>
      <c r="P2" s="4"/>
      <c r="Q2" s="4"/>
      <c r="R2" s="4"/>
      <c r="S2" s="4"/>
      <c r="T2" s="4"/>
      <c r="U2" s="4"/>
      <c r="V2" s="4"/>
      <c r="W2" s="4"/>
      <c r="X2" s="1"/>
      <c r="Y2" s="10" t="s">
        <v>94</v>
      </c>
      <c r="Z2" s="10"/>
      <c r="AA2" s="1"/>
    </row>
    <row r="3" spans="1:27" x14ac:dyDescent="0.2">
      <c r="A3" s="101"/>
      <c r="B3" s="102" t="s">
        <v>95</v>
      </c>
      <c r="C3" s="103"/>
      <c r="D3" s="103"/>
      <c r="E3" s="104">
        <f>'Income Statement'!AD5</f>
        <v>353428.98635999998</v>
      </c>
      <c r="F3" s="104">
        <f>'Income Statement'!AE5</f>
        <v>407454.09462000005</v>
      </c>
      <c r="G3" s="104">
        <f>'Income Statement'!AF5</f>
        <v>435853.88793700002</v>
      </c>
      <c r="H3" s="104">
        <f>'Income Statement'!AG5</f>
        <v>451420.02313894994</v>
      </c>
      <c r="I3" s="104">
        <f>'Income Statement'!AH5</f>
        <v>471429.59198554431</v>
      </c>
      <c r="J3" s="104">
        <f>'Income Statement'!AI5</f>
        <v>506111.19015535078</v>
      </c>
      <c r="K3" s="105">
        <f>J3</f>
        <v>506111.19015535078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 t="s">
        <v>89</v>
      </c>
      <c r="Z3" s="58">
        <v>0.2</v>
      </c>
      <c r="AA3" s="1"/>
    </row>
    <row r="4" spans="1:27" x14ac:dyDescent="0.2">
      <c r="A4" s="1"/>
      <c r="B4" s="55" t="s">
        <v>96</v>
      </c>
      <c r="C4" s="1"/>
      <c r="D4" s="1"/>
      <c r="E4" s="1"/>
      <c r="F4" s="1"/>
      <c r="G4" s="106">
        <f>G3/F3-1</f>
        <v>6.9700596194735009E-2</v>
      </c>
      <c r="H4" s="106">
        <f>H3/G3-1</f>
        <v>3.5714113451248863E-2</v>
      </c>
      <c r="I4" s="106">
        <f>I3/H3-1</f>
        <v>4.4325833638166445E-2</v>
      </c>
      <c r="J4" s="106">
        <f>J3/I3-1</f>
        <v>7.35668671619365E-2</v>
      </c>
      <c r="K4" s="107"/>
      <c r="L4" s="1"/>
      <c r="M4" s="1"/>
      <c r="N4" s="1"/>
      <c r="O4" s="11" t="s">
        <v>97</v>
      </c>
      <c r="P4" s="1"/>
      <c r="Q4" s="108" t="s">
        <v>98</v>
      </c>
      <c r="R4" s="109"/>
      <c r="S4" s="109"/>
      <c r="T4" s="1"/>
      <c r="U4" s="108" t="s">
        <v>99</v>
      </c>
      <c r="V4" s="109"/>
      <c r="W4" s="109"/>
      <c r="X4" s="1"/>
      <c r="Y4" s="2" t="s">
        <v>100</v>
      </c>
      <c r="Z4" s="110"/>
      <c r="AA4" s="1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07"/>
      <c r="L5" s="1"/>
      <c r="M5" s="11" t="s">
        <v>101</v>
      </c>
      <c r="N5" s="1"/>
      <c r="O5" s="111" t="s">
        <v>102</v>
      </c>
      <c r="P5" s="1"/>
      <c r="Q5" s="112" t="s">
        <v>103</v>
      </c>
      <c r="R5" s="113"/>
      <c r="S5" s="113"/>
      <c r="T5" s="1"/>
      <c r="U5" s="112" t="s">
        <v>103</v>
      </c>
      <c r="V5" s="113"/>
      <c r="W5" s="113"/>
      <c r="X5" s="1"/>
      <c r="Y5" s="114" t="s">
        <v>104</v>
      </c>
      <c r="Z5" s="115">
        <f>Z4*(1-Z3)</f>
        <v>0</v>
      </c>
      <c r="AA5" s="1"/>
    </row>
    <row r="6" spans="1:27" x14ac:dyDescent="0.2">
      <c r="A6" s="1"/>
      <c r="B6" s="103" t="s">
        <v>105</v>
      </c>
      <c r="C6" s="103"/>
      <c r="D6" s="103"/>
      <c r="E6" s="104">
        <f>'Income Statement'!AD46</f>
        <v>169218.80601322619</v>
      </c>
      <c r="F6" s="104">
        <f>'Income Statement'!AE46</f>
        <v>184580.74153884838</v>
      </c>
      <c r="G6" s="104">
        <f>'Income Statement'!AF46</f>
        <v>197789.92521691805</v>
      </c>
      <c r="H6" s="104">
        <f>'Income Statement'!AG46</f>
        <v>229439.8288900964</v>
      </c>
      <c r="I6" s="104">
        <f>'Income Statement'!AH46</f>
        <v>255262.5866293741</v>
      </c>
      <c r="J6" s="104">
        <f>'Income Statement'!AI46</f>
        <v>274420.60727131279</v>
      </c>
      <c r="K6" s="116">
        <f>J6</f>
        <v>274420.60727131279</v>
      </c>
      <c r="L6" s="1"/>
      <c r="M6" s="117" t="s">
        <v>106</v>
      </c>
      <c r="N6" s="1"/>
      <c r="O6" s="117" t="s">
        <v>107</v>
      </c>
      <c r="P6" s="1"/>
      <c r="Q6" s="118">
        <f t="array" ref="Q6:S6">TRANSPOSE(C22:C24)</f>
        <v>0.02</v>
      </c>
      <c r="R6" s="118">
        <v>2.5000000000000001E-2</v>
      </c>
      <c r="S6" s="118">
        <v>3.0000000000000002E-2</v>
      </c>
      <c r="T6" s="1"/>
      <c r="U6" s="118">
        <f>Q6</f>
        <v>0.02</v>
      </c>
      <c r="V6" s="118">
        <f>R6</f>
        <v>2.5000000000000001E-2</v>
      </c>
      <c r="W6" s="118">
        <f>S6</f>
        <v>3.0000000000000002E-2</v>
      </c>
      <c r="X6" s="1"/>
      <c r="Y6" s="2"/>
      <c r="Z6" s="119"/>
      <c r="AA6" s="1"/>
    </row>
    <row r="7" spans="1:27" x14ac:dyDescent="0.2">
      <c r="A7" s="1"/>
      <c r="B7" s="55" t="s">
        <v>108</v>
      </c>
      <c r="C7" s="1"/>
      <c r="D7" s="1"/>
      <c r="E7" s="106">
        <f t="shared" ref="E7" si="0">E6/E3</f>
        <v>0.47879153251131829</v>
      </c>
      <c r="F7" s="106">
        <f t="shared" ref="F7:K7" si="1">F6/F3</f>
        <v>0.45300990706938932</v>
      </c>
      <c r="G7" s="106">
        <f t="shared" si="1"/>
        <v>0.4537986942209114</v>
      </c>
      <c r="H7" s="106">
        <f t="shared" si="1"/>
        <v>0.50826241001603367</v>
      </c>
      <c r="I7" s="106">
        <f t="shared" si="1"/>
        <v>0.54146492067727758</v>
      </c>
      <c r="J7" s="106">
        <f t="shared" si="1"/>
        <v>0.5422140679937929</v>
      </c>
      <c r="K7" s="120">
        <f t="shared" si="1"/>
        <v>0.5422140679937929</v>
      </c>
      <c r="L7" s="1"/>
      <c r="M7" s="121" t="e">
        <f>B22</f>
        <v>#DIV/0!</v>
      </c>
      <c r="N7" s="122"/>
      <c r="O7" s="123" t="e">
        <f>SUM(F22:J22)</f>
        <v>#DIV/0!</v>
      </c>
      <c r="P7" s="122"/>
      <c r="Q7" s="124" t="e">
        <f t="shared" ref="Q7:S9" si="2">($K$18*(1+Q$6)/($M7-Q$6))/(1+$M7)^$J$21</f>
        <v>#DIV/0!</v>
      </c>
      <c r="R7" s="124" t="e">
        <f t="shared" si="2"/>
        <v>#DIV/0!</v>
      </c>
      <c r="S7" s="124" t="e">
        <f t="shared" si="2"/>
        <v>#DIV/0!</v>
      </c>
      <c r="T7" s="122"/>
      <c r="U7" s="124" t="e">
        <f t="shared" ref="U7:W9" si="3">$O7+Q7</f>
        <v>#DIV/0!</v>
      </c>
      <c r="V7" s="124" t="e">
        <f t="shared" si="3"/>
        <v>#DIV/0!</v>
      </c>
      <c r="W7" s="124" t="e">
        <f t="shared" si="3"/>
        <v>#DIV/0!</v>
      </c>
      <c r="X7" s="1"/>
      <c r="Y7" s="2" t="s">
        <v>109</v>
      </c>
      <c r="Z7" s="110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07"/>
      <c r="L8" s="1"/>
      <c r="M8" s="121" t="e">
        <f>B23</f>
        <v>#DIV/0!</v>
      </c>
      <c r="N8" s="122"/>
      <c r="O8" s="123" t="e">
        <f>SUM(F23:J23)</f>
        <v>#DIV/0!</v>
      </c>
      <c r="P8" s="125" t="s">
        <v>110</v>
      </c>
      <c r="Q8" s="124" t="e">
        <f t="shared" si="2"/>
        <v>#DIV/0!</v>
      </c>
      <c r="R8" s="124" t="e">
        <f t="shared" si="2"/>
        <v>#DIV/0!</v>
      </c>
      <c r="S8" s="124" t="e">
        <f t="shared" si="2"/>
        <v>#DIV/0!</v>
      </c>
      <c r="T8" s="126" t="s">
        <v>85</v>
      </c>
      <c r="U8" s="124" t="e">
        <f t="shared" si="3"/>
        <v>#DIV/0!</v>
      </c>
      <c r="V8" s="124" t="e">
        <f t="shared" si="3"/>
        <v>#DIV/0!</v>
      </c>
      <c r="W8" s="124" t="e">
        <f t="shared" si="3"/>
        <v>#DIV/0!</v>
      </c>
      <c r="X8" s="1"/>
      <c r="Y8" s="2" t="s">
        <v>111</v>
      </c>
      <c r="Z8" s="110"/>
      <c r="AA8" s="1"/>
    </row>
    <row r="9" spans="1:27" x14ac:dyDescent="0.2">
      <c r="A9" s="1"/>
      <c r="B9" s="102" t="s">
        <v>71</v>
      </c>
      <c r="C9" s="103"/>
      <c r="D9" s="103"/>
      <c r="E9" s="127">
        <f>'Income Statement'!AD20</f>
        <v>151907.56574399996</v>
      </c>
      <c r="F9" s="127">
        <f>'Income Statement'!AE20</f>
        <v>164229.61142630005</v>
      </c>
      <c r="G9" s="127">
        <f>'Income Statement'!AF20</f>
        <v>175642.23505568106</v>
      </c>
      <c r="H9" s="127">
        <f>'Income Statement'!AG20</f>
        <v>204496.39730114242</v>
      </c>
      <c r="I9" s="127">
        <f>'Income Statement'!AH20</f>
        <v>227708.90386991462</v>
      </c>
      <c r="J9" s="127">
        <f>'Income Statement'!AI20</f>
        <v>244429.91837862006</v>
      </c>
      <c r="K9" s="116">
        <f>J9</f>
        <v>244429.91837862006</v>
      </c>
      <c r="L9" s="1"/>
      <c r="M9" s="128" t="e">
        <f>B24</f>
        <v>#DIV/0!</v>
      </c>
      <c r="N9" s="1"/>
      <c r="O9" s="129" t="e">
        <f>SUM(F24:J24)</f>
        <v>#DIV/0!</v>
      </c>
      <c r="P9" s="1"/>
      <c r="Q9" s="130" t="e">
        <f t="shared" si="2"/>
        <v>#DIV/0!</v>
      </c>
      <c r="R9" s="130" t="e">
        <f t="shared" si="2"/>
        <v>#DIV/0!</v>
      </c>
      <c r="S9" s="130" t="e">
        <f t="shared" si="2"/>
        <v>#DIV/0!</v>
      </c>
      <c r="T9" s="1"/>
      <c r="U9" s="130" t="e">
        <f t="shared" si="3"/>
        <v>#DIV/0!</v>
      </c>
      <c r="V9" s="130" t="e">
        <f t="shared" si="3"/>
        <v>#DIV/0!</v>
      </c>
      <c r="W9" s="130" t="e">
        <f t="shared" si="3"/>
        <v>#DIV/0!</v>
      </c>
      <c r="X9" s="1"/>
      <c r="Y9" s="2" t="s">
        <v>112</v>
      </c>
      <c r="Z9" s="119"/>
      <c r="AA9" s="1"/>
    </row>
    <row r="10" spans="1:27" x14ac:dyDescent="0.2">
      <c r="A10" s="1"/>
      <c r="B10" s="55" t="s">
        <v>113</v>
      </c>
      <c r="C10" s="1"/>
      <c r="D10" s="1"/>
      <c r="E10" s="106">
        <f t="shared" ref="E10" si="4">E9/E3</f>
        <v>0.42981071617387973</v>
      </c>
      <c r="F10" s="106">
        <f t="shared" ref="F10:K10" si="5">F9/F3</f>
        <v>0.40306285688321264</v>
      </c>
      <c r="G10" s="106">
        <f t="shared" si="5"/>
        <v>0.40298421080293095</v>
      </c>
      <c r="H10" s="106">
        <f t="shared" si="5"/>
        <v>0.45300692662938691</v>
      </c>
      <c r="I10" s="106">
        <f t="shared" si="5"/>
        <v>0.48301784135115766</v>
      </c>
      <c r="J10" s="106">
        <f t="shared" si="5"/>
        <v>0.48295695320151355</v>
      </c>
      <c r="K10" s="120">
        <f t="shared" si="5"/>
        <v>0.48295695320151355</v>
      </c>
      <c r="L10" s="1"/>
      <c r="X10" s="1"/>
      <c r="Y10" s="114" t="s">
        <v>114</v>
      </c>
      <c r="Z10" s="115">
        <f>Z9*Z8+Z7</f>
        <v>0</v>
      </c>
      <c r="AA10" s="1"/>
    </row>
    <row r="11" spans="1:27" x14ac:dyDescent="0.2">
      <c r="A11" s="1"/>
      <c r="J11" s="1"/>
      <c r="K11" s="107"/>
      <c r="L11" s="1"/>
      <c r="M11" s="1"/>
      <c r="N11" s="1"/>
      <c r="O11" s="1"/>
      <c r="P11" s="1"/>
      <c r="Q11" s="108" t="s">
        <v>115</v>
      </c>
      <c r="R11" s="109"/>
      <c r="S11" s="109"/>
      <c r="T11" s="1"/>
      <c r="U11" s="108" t="s">
        <v>116</v>
      </c>
      <c r="V11" s="109"/>
      <c r="W11" s="109"/>
      <c r="X11" s="1"/>
      <c r="Y11" s="2"/>
      <c r="Z11" s="119"/>
      <c r="AA11" s="1"/>
    </row>
    <row r="12" spans="1:27" x14ac:dyDescent="0.2">
      <c r="A12" s="1"/>
      <c r="B12" s="103" t="s">
        <v>117</v>
      </c>
      <c r="C12" s="103"/>
      <c r="D12" s="103"/>
      <c r="E12" s="131">
        <f>-E13*E9</f>
        <v>-30381.513148799993</v>
      </c>
      <c r="F12" s="131">
        <f>-F13*F9</f>
        <v>-32845.922285260014</v>
      </c>
      <c r="G12" s="131">
        <f t="shared" ref="F12:K12" si="6">-G13*G9</f>
        <v>-35128.44701113621</v>
      </c>
      <c r="H12" s="131">
        <f t="shared" si="6"/>
        <v>-40899.279460228485</v>
      </c>
      <c r="I12" s="131">
        <f t="shared" si="6"/>
        <v>-45541.78077398293</v>
      </c>
      <c r="J12" s="131">
        <f t="shared" si="6"/>
        <v>-48885.983675724012</v>
      </c>
      <c r="K12" s="132">
        <f t="shared" si="6"/>
        <v>-48885.983675724012</v>
      </c>
      <c r="L12" s="1"/>
      <c r="M12" s="11" t="s">
        <v>101</v>
      </c>
      <c r="N12" s="1"/>
      <c r="O12" s="11" t="s">
        <v>118</v>
      </c>
      <c r="P12" s="1"/>
      <c r="Q12" s="112" t="s">
        <v>103</v>
      </c>
      <c r="R12" s="113"/>
      <c r="S12" s="113"/>
      <c r="T12" s="1"/>
      <c r="U12" s="112" t="s">
        <v>103</v>
      </c>
      <c r="V12" s="113"/>
      <c r="W12" s="113"/>
      <c r="X12" s="1"/>
      <c r="Y12" s="1" t="s">
        <v>119</v>
      </c>
      <c r="Z12" s="6"/>
      <c r="AA12" s="1"/>
    </row>
    <row r="13" spans="1:27" x14ac:dyDescent="0.2">
      <c r="A13" s="1"/>
      <c r="B13" s="55" t="s">
        <v>120</v>
      </c>
      <c r="C13" s="1"/>
      <c r="D13" s="1"/>
      <c r="E13" s="133">
        <v>0.2</v>
      </c>
      <c r="F13" s="133">
        <v>0.2</v>
      </c>
      <c r="G13" s="133">
        <v>0.2</v>
      </c>
      <c r="H13" s="133">
        <v>0.2</v>
      </c>
      <c r="I13" s="133">
        <v>0.2</v>
      </c>
      <c r="J13" s="133">
        <v>0.2</v>
      </c>
      <c r="K13" s="134">
        <f>J13</f>
        <v>0.2</v>
      </c>
      <c r="L13" s="1"/>
      <c r="M13" s="117" t="s">
        <v>106</v>
      </c>
      <c r="N13" s="1"/>
      <c r="O13" s="117" t="s">
        <v>121</v>
      </c>
      <c r="P13" s="1"/>
      <c r="Q13" s="118">
        <f>Q6</f>
        <v>0.02</v>
      </c>
      <c r="R13" s="118">
        <f>R6</f>
        <v>2.5000000000000001E-2</v>
      </c>
      <c r="S13" s="118">
        <f>S6</f>
        <v>3.0000000000000002E-2</v>
      </c>
      <c r="T13" s="1"/>
      <c r="U13" s="118">
        <f>Q13</f>
        <v>0.02</v>
      </c>
      <c r="V13" s="118">
        <f>R13</f>
        <v>2.5000000000000001E-2</v>
      </c>
      <c r="W13" s="118">
        <f>S13</f>
        <v>3.0000000000000002E-2</v>
      </c>
      <c r="X13" s="1"/>
      <c r="Y13" s="1" t="s">
        <v>122</v>
      </c>
      <c r="Z13" s="6"/>
      <c r="AA13" s="1"/>
    </row>
    <row r="14" spans="1:27" x14ac:dyDescent="0.2">
      <c r="A14" s="1"/>
      <c r="B14" s="54" t="s">
        <v>123</v>
      </c>
      <c r="C14" s="1"/>
      <c r="D14" s="1"/>
      <c r="E14" s="135">
        <f>E9+E12</f>
        <v>121526.05259519997</v>
      </c>
      <c r="F14" s="135">
        <f>F9+F12</f>
        <v>131383.68914104003</v>
      </c>
      <c r="G14" s="135">
        <f t="shared" ref="F14:K14" si="7">G9+G12</f>
        <v>140513.78804454484</v>
      </c>
      <c r="H14" s="135">
        <f t="shared" si="7"/>
        <v>163597.11784091394</v>
      </c>
      <c r="I14" s="135">
        <f t="shared" si="7"/>
        <v>182167.12309593169</v>
      </c>
      <c r="J14" s="135">
        <f t="shared" si="7"/>
        <v>195543.93470289605</v>
      </c>
      <c r="K14" s="136">
        <f>K9+K12</f>
        <v>195543.93470289605</v>
      </c>
      <c r="L14" s="1"/>
      <c r="M14" s="121" t="e">
        <f>M7</f>
        <v>#DIV/0!</v>
      </c>
      <c r="N14" s="122"/>
      <c r="O14" s="137">
        <f>('[1]LF Diff'!Z5-'[1]LF Diff'!Z6)*-1</f>
        <v>54.7</v>
      </c>
      <c r="P14" s="122"/>
      <c r="Q14" s="124" t="e">
        <f t="shared" ref="Q14:S16" si="8">U7+$O14</f>
        <v>#DIV/0!</v>
      </c>
      <c r="R14" s="124" t="e">
        <f t="shared" si="8"/>
        <v>#DIV/0!</v>
      </c>
      <c r="S14" s="124" t="e">
        <f t="shared" si="8"/>
        <v>#DIV/0!</v>
      </c>
      <c r="T14" s="138"/>
      <c r="U14" s="139" t="e">
        <f t="shared" ref="U14:W16" si="9">Q14/$D$40</f>
        <v>#DIV/0!</v>
      </c>
      <c r="V14" s="140" t="e">
        <f t="shared" si="9"/>
        <v>#DIV/0!</v>
      </c>
      <c r="W14" s="139" t="e">
        <f t="shared" si="9"/>
        <v>#DIV/0!</v>
      </c>
      <c r="X14" s="1"/>
      <c r="Y14" s="141" t="s">
        <v>124</v>
      </c>
      <c r="Z14" s="142">
        <f>Z13-Z12</f>
        <v>0</v>
      </c>
      <c r="AA14" s="1"/>
    </row>
    <row r="15" spans="1:27" x14ac:dyDescent="0.2">
      <c r="A15" s="1"/>
      <c r="B15" s="103" t="s">
        <v>125</v>
      </c>
      <c r="C15" s="103"/>
      <c r="D15" s="103"/>
      <c r="E15" s="131">
        <f>'Income Statement'!AD44</f>
        <v>17311.240269226215</v>
      </c>
      <c r="F15" s="131">
        <f>'Income Statement'!AE44</f>
        <v>20351.130112548315</v>
      </c>
      <c r="G15" s="131">
        <f>'Income Statement'!AF44</f>
        <v>22147.690161237009</v>
      </c>
      <c r="H15" s="131">
        <f>'Income Statement'!AG44</f>
        <v>24943.431588953983</v>
      </c>
      <c r="I15" s="131">
        <f>'Income Statement'!AH44</f>
        <v>27553.682759459487</v>
      </c>
      <c r="J15" s="131">
        <f>'Income Statement'!AI44</f>
        <v>29990.688892692757</v>
      </c>
      <c r="K15" s="132">
        <f>J15</f>
        <v>29990.688892692757</v>
      </c>
      <c r="L15" s="1"/>
      <c r="M15" s="121" t="e">
        <f>M8</f>
        <v>#DIV/0!</v>
      </c>
      <c r="N15" s="122"/>
      <c r="O15" s="143">
        <f>O14</f>
        <v>54.7</v>
      </c>
      <c r="P15" s="126" t="s">
        <v>85</v>
      </c>
      <c r="Q15" s="124" t="e">
        <f t="shared" si="8"/>
        <v>#DIV/0!</v>
      </c>
      <c r="R15" s="124" t="e">
        <f t="shared" si="8"/>
        <v>#DIV/0!</v>
      </c>
      <c r="S15" s="124" t="e">
        <f t="shared" si="8"/>
        <v>#DIV/0!</v>
      </c>
      <c r="T15" s="122"/>
      <c r="U15" s="139" t="e">
        <f t="shared" si="9"/>
        <v>#DIV/0!</v>
      </c>
      <c r="V15" s="144" t="e">
        <f t="shared" si="9"/>
        <v>#DIV/0!</v>
      </c>
      <c r="W15" s="139" t="e">
        <f t="shared" si="9"/>
        <v>#DIV/0!</v>
      </c>
      <c r="X15" s="1"/>
      <c r="Y15" s="2" t="s">
        <v>126</v>
      </c>
      <c r="Z15" s="58" t="e">
        <f>Z13/(Z14+Z19)</f>
        <v>#DIV/0!</v>
      </c>
      <c r="AA15" s="1"/>
    </row>
    <row r="16" spans="1:27" x14ac:dyDescent="0.2">
      <c r="A16" s="1"/>
      <c r="B16" s="103" t="s">
        <v>127</v>
      </c>
      <c r="C16" s="103"/>
      <c r="D16" s="103"/>
      <c r="E16" s="145">
        <f>D33</f>
        <v>0</v>
      </c>
      <c r="F16" s="145">
        <f>E33</f>
        <v>0</v>
      </c>
      <c r="G16" s="145">
        <f>F33</f>
        <v>0</v>
      </c>
      <c r="H16" s="145">
        <f>G33</f>
        <v>0</v>
      </c>
      <c r="I16" s="145">
        <f>H33</f>
        <v>0</v>
      </c>
      <c r="J16" s="145">
        <f>I33</f>
        <v>0</v>
      </c>
      <c r="K16" s="132">
        <f>J16</f>
        <v>0</v>
      </c>
      <c r="L16" s="1"/>
      <c r="M16" s="128" t="e">
        <f>M9</f>
        <v>#DIV/0!</v>
      </c>
      <c r="N16" s="1"/>
      <c r="O16" s="146">
        <f>O15</f>
        <v>54.7</v>
      </c>
      <c r="P16" s="1"/>
      <c r="Q16" s="130" t="e">
        <f t="shared" si="8"/>
        <v>#DIV/0!</v>
      </c>
      <c r="R16" s="130" t="e">
        <f t="shared" si="8"/>
        <v>#DIV/0!</v>
      </c>
      <c r="S16" s="130" t="e">
        <f t="shared" si="8"/>
        <v>#DIV/0!</v>
      </c>
      <c r="T16" s="1"/>
      <c r="U16" s="140" t="e">
        <f t="shared" si="9"/>
        <v>#DIV/0!</v>
      </c>
      <c r="V16" s="140" t="e">
        <f t="shared" si="9"/>
        <v>#DIV/0!</v>
      </c>
      <c r="W16" s="140" t="e">
        <f t="shared" si="9"/>
        <v>#DIV/0!</v>
      </c>
      <c r="X16" s="1"/>
      <c r="Y16" s="119"/>
      <c r="Z16" s="119"/>
      <c r="AA16" s="1"/>
    </row>
    <row r="17" spans="1:27" x14ac:dyDescent="0.2">
      <c r="A17" s="1"/>
      <c r="B17" s="1" t="s">
        <v>128</v>
      </c>
      <c r="C17" s="1"/>
      <c r="D17" s="1"/>
      <c r="E17" s="147"/>
      <c r="F17" s="147"/>
      <c r="G17" s="147"/>
      <c r="H17" s="147"/>
      <c r="I17" s="147"/>
      <c r="J17" s="147"/>
      <c r="K17" s="148">
        <f>J17</f>
        <v>0</v>
      </c>
      <c r="L17" s="1"/>
      <c r="X17" s="1"/>
      <c r="Y17" s="1" t="s">
        <v>129</v>
      </c>
      <c r="Z17" s="149"/>
      <c r="AA17" s="1"/>
    </row>
    <row r="18" spans="1:27" x14ac:dyDescent="0.2">
      <c r="A18" s="1"/>
      <c r="B18" s="150" t="s">
        <v>130</v>
      </c>
      <c r="C18" s="150"/>
      <c r="D18" s="150"/>
      <c r="E18" s="151">
        <f>SUM(E14:E17)</f>
        <v>138837.29286442618</v>
      </c>
      <c r="F18" s="151">
        <f>F14+F15-F16+F17</f>
        <v>151734.81925358833</v>
      </c>
      <c r="G18" s="151">
        <f t="shared" ref="F18:K18" si="10">G14+G15-G16+G17</f>
        <v>162661.47820578184</v>
      </c>
      <c r="H18" s="151">
        <f t="shared" si="10"/>
        <v>188540.54942986791</v>
      </c>
      <c r="I18" s="151">
        <f t="shared" si="10"/>
        <v>209720.80585539117</v>
      </c>
      <c r="J18" s="151">
        <f t="shared" si="10"/>
        <v>225534.62359558881</v>
      </c>
      <c r="K18" s="152">
        <f t="shared" si="10"/>
        <v>225534.62359558881</v>
      </c>
      <c r="L18" s="1"/>
      <c r="M18" s="100" t="s">
        <v>131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1"/>
      <c r="Y18" s="1" t="s">
        <v>132</v>
      </c>
      <c r="Z18" s="153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41" t="s">
        <v>133</v>
      </c>
      <c r="Z19" s="154">
        <f>Z18*Z17</f>
        <v>0</v>
      </c>
      <c r="AA19" s="1"/>
    </row>
    <row r="20" spans="1:27" x14ac:dyDescent="0.2">
      <c r="A20" s="1"/>
      <c r="B20" s="155" t="s">
        <v>101</v>
      </c>
      <c r="C20" s="155" t="s">
        <v>134</v>
      </c>
      <c r="D20" s="155" t="s">
        <v>135</v>
      </c>
      <c r="E20" s="1"/>
      <c r="F20" s="100" t="s">
        <v>136</v>
      </c>
      <c r="G20" s="4"/>
      <c r="H20" s="4"/>
      <c r="I20" s="4"/>
      <c r="J20" s="4"/>
      <c r="K20" s="4"/>
      <c r="L20" s="1"/>
      <c r="M20" s="1"/>
      <c r="N20" s="1"/>
      <c r="O20" s="11" t="s">
        <v>97</v>
      </c>
      <c r="P20" s="1"/>
      <c r="Q20" s="108" t="s">
        <v>98</v>
      </c>
      <c r="R20" s="109"/>
      <c r="S20" s="109"/>
      <c r="T20" s="1"/>
      <c r="U20" s="108" t="s">
        <v>99</v>
      </c>
      <c r="V20" s="109"/>
      <c r="W20" s="109"/>
      <c r="X20" s="1"/>
      <c r="Y20" s="2" t="s">
        <v>137</v>
      </c>
      <c r="Z20" s="58" t="e">
        <f>1-Z15</f>
        <v>#DIV/0!</v>
      </c>
      <c r="AA20" s="1"/>
    </row>
    <row r="21" spans="1:27" x14ac:dyDescent="0.2">
      <c r="A21" s="1"/>
      <c r="B21" s="156" t="s">
        <v>106</v>
      </c>
      <c r="C21" s="156" t="s">
        <v>138</v>
      </c>
      <c r="D21" s="156" t="s">
        <v>139</v>
      </c>
      <c r="E21" s="1"/>
      <c r="F21" s="157">
        <v>0.5</v>
      </c>
      <c r="G21" s="157">
        <v>1.5</v>
      </c>
      <c r="H21" s="157">
        <v>2.5</v>
      </c>
      <c r="I21" s="157">
        <v>3.5</v>
      </c>
      <c r="J21" s="157">
        <v>4.5</v>
      </c>
      <c r="K21" s="158">
        <v>5</v>
      </c>
      <c r="L21" s="1"/>
      <c r="M21" s="11" t="s">
        <v>101</v>
      </c>
      <c r="N21" s="1"/>
      <c r="O21" s="111" t="s">
        <v>102</v>
      </c>
      <c r="P21" s="1"/>
      <c r="Q21" s="112" t="s">
        <v>140</v>
      </c>
      <c r="R21" s="113"/>
      <c r="S21" s="113"/>
      <c r="T21" s="1"/>
      <c r="U21" s="112" t="s">
        <v>140</v>
      </c>
      <c r="V21" s="113"/>
      <c r="W21" s="113"/>
      <c r="X21" s="1"/>
      <c r="Y21" s="1"/>
      <c r="Z21" s="1"/>
      <c r="AA21" s="1"/>
    </row>
    <row r="22" spans="1:27" x14ac:dyDescent="0.2">
      <c r="A22" s="1"/>
      <c r="B22" s="224" t="e">
        <f>B23-0.005</f>
        <v>#DIV/0!</v>
      </c>
      <c r="C22" s="159">
        <f>C23-0.005</f>
        <v>0.02</v>
      </c>
      <c r="D22" s="160">
        <f>D23-1</f>
        <v>11.5</v>
      </c>
      <c r="E22" s="161" t="e">
        <f>B22</f>
        <v>#DIV/0!</v>
      </c>
      <c r="F22" s="162" t="e">
        <f>F$18/(1+$E22)^F$21</f>
        <v>#DIV/0!</v>
      </c>
      <c r="G22" s="162" t="e">
        <f t="shared" ref="F22:J24" si="11">G$18/(1+$E22)^G$21</f>
        <v>#DIV/0!</v>
      </c>
      <c r="H22" s="162" t="e">
        <f t="shared" si="11"/>
        <v>#DIV/0!</v>
      </c>
      <c r="I22" s="162" t="e">
        <f t="shared" si="11"/>
        <v>#DIV/0!</v>
      </c>
      <c r="J22" s="162" t="e">
        <f t="shared" si="11"/>
        <v>#DIV/0!</v>
      </c>
      <c r="K22" s="1"/>
      <c r="L22" s="1"/>
      <c r="M22" s="117" t="s">
        <v>106</v>
      </c>
      <c r="N22" s="1"/>
      <c r="O22" s="117" t="s">
        <v>107</v>
      </c>
      <c r="P22" s="1"/>
      <c r="Q22" s="163">
        <f t="array" ref="Q22:S22">TRANSPOSE(D22:D24)</f>
        <v>11.5</v>
      </c>
      <c r="R22" s="163">
        <v>12.5</v>
      </c>
      <c r="S22" s="163">
        <v>13.5</v>
      </c>
      <c r="T22" s="1"/>
      <c r="U22" s="163">
        <f>Q22</f>
        <v>11.5</v>
      </c>
      <c r="V22" s="163">
        <f>R22</f>
        <v>12.5</v>
      </c>
      <c r="W22" s="163">
        <f>S22</f>
        <v>13.5</v>
      </c>
      <c r="X22" s="1"/>
      <c r="Y22" s="10" t="s">
        <v>141</v>
      </c>
      <c r="Z22" s="164" t="e">
        <f>Z5*Z15+Z10*Z20</f>
        <v>#DIV/0!</v>
      </c>
      <c r="AA22" s="1"/>
    </row>
    <row r="23" spans="1:27" x14ac:dyDescent="0.2">
      <c r="A23" s="1"/>
      <c r="B23" s="165" t="e">
        <f>Z22</f>
        <v>#DIV/0!</v>
      </c>
      <c r="C23" s="165">
        <v>2.5000000000000001E-2</v>
      </c>
      <c r="D23" s="166">
        <v>12.5</v>
      </c>
      <c r="E23" s="167" t="e">
        <f>B23</f>
        <v>#DIV/0!</v>
      </c>
      <c r="F23" s="162" t="e">
        <f t="shared" si="11"/>
        <v>#DIV/0!</v>
      </c>
      <c r="G23" s="162" t="e">
        <f t="shared" si="11"/>
        <v>#DIV/0!</v>
      </c>
      <c r="H23" s="162" t="e">
        <f t="shared" si="11"/>
        <v>#DIV/0!</v>
      </c>
      <c r="I23" s="162" t="e">
        <f t="shared" si="11"/>
        <v>#DIV/0!</v>
      </c>
      <c r="J23" s="162" t="e">
        <f t="shared" si="11"/>
        <v>#DIV/0!</v>
      </c>
      <c r="K23" s="1"/>
      <c r="L23" s="1"/>
      <c r="M23" s="121" t="e">
        <f>M14</f>
        <v>#DIV/0!</v>
      </c>
      <c r="N23" s="122"/>
      <c r="O23" s="168" t="e">
        <f>O7</f>
        <v>#DIV/0!</v>
      </c>
      <c r="P23" s="122"/>
      <c r="Q23" s="124" t="e">
        <f t="shared" ref="Q23:S25" si="12">$K$6*Q$22/(1+$M23)^$K$21</f>
        <v>#DIV/0!</v>
      </c>
      <c r="R23" s="124" t="e">
        <f t="shared" si="12"/>
        <v>#DIV/0!</v>
      </c>
      <c r="S23" s="124" t="e">
        <f t="shared" si="12"/>
        <v>#DIV/0!</v>
      </c>
      <c r="T23" s="122"/>
      <c r="U23" s="124" t="e">
        <f t="shared" ref="U23:W25" si="13">$O23+Q23</f>
        <v>#DIV/0!</v>
      </c>
      <c r="V23" s="124" t="e">
        <f t="shared" si="13"/>
        <v>#DIV/0!</v>
      </c>
      <c r="W23" s="124" t="e">
        <f t="shared" si="13"/>
        <v>#DIV/0!</v>
      </c>
      <c r="X23" s="1"/>
      <c r="Y23" s="1"/>
      <c r="Z23" s="1"/>
      <c r="AA23" s="1"/>
    </row>
    <row r="24" spans="1:27" x14ac:dyDescent="0.2">
      <c r="A24" s="1"/>
      <c r="B24" s="159" t="e">
        <f>B23+0.005</f>
        <v>#DIV/0!</v>
      </c>
      <c r="C24" s="159">
        <f>C23+0.005</f>
        <v>3.0000000000000002E-2</v>
      </c>
      <c r="D24" s="160">
        <f>D23+1</f>
        <v>13.5</v>
      </c>
      <c r="E24" s="167" t="e">
        <f>B24</f>
        <v>#DIV/0!</v>
      </c>
      <c r="F24" s="162" t="e">
        <f t="shared" si="11"/>
        <v>#DIV/0!</v>
      </c>
      <c r="G24" s="162" t="e">
        <f t="shared" si="11"/>
        <v>#DIV/0!</v>
      </c>
      <c r="H24" s="162" t="e">
        <f t="shared" si="11"/>
        <v>#DIV/0!</v>
      </c>
      <c r="I24" s="162" t="e">
        <f t="shared" si="11"/>
        <v>#DIV/0!</v>
      </c>
      <c r="J24" s="162" t="e">
        <f t="shared" si="11"/>
        <v>#DIV/0!</v>
      </c>
      <c r="K24" s="1"/>
      <c r="L24" s="1"/>
      <c r="M24" s="121" t="e">
        <f>M15</f>
        <v>#DIV/0!</v>
      </c>
      <c r="N24" s="122"/>
      <c r="O24" s="168" t="e">
        <f>O8</f>
        <v>#DIV/0!</v>
      </c>
      <c r="P24" s="125" t="s">
        <v>110</v>
      </c>
      <c r="Q24" s="124" t="e">
        <f t="shared" si="12"/>
        <v>#DIV/0!</v>
      </c>
      <c r="R24" s="124" t="e">
        <f t="shared" si="12"/>
        <v>#DIV/0!</v>
      </c>
      <c r="S24" s="124" t="e">
        <f t="shared" si="12"/>
        <v>#DIV/0!</v>
      </c>
      <c r="T24" s="126" t="s">
        <v>85</v>
      </c>
      <c r="U24" s="124" t="e">
        <f t="shared" si="13"/>
        <v>#DIV/0!</v>
      </c>
      <c r="V24" s="124" t="e">
        <f t="shared" si="13"/>
        <v>#DIV/0!</v>
      </c>
      <c r="W24" s="124" t="e">
        <f t="shared" si="13"/>
        <v>#DIV/0!</v>
      </c>
      <c r="X24" s="1"/>
      <c r="Y24" s="1"/>
      <c r="Z24" s="1"/>
      <c r="AA24" s="1"/>
    </row>
    <row r="25" spans="1:27" x14ac:dyDescent="0.2">
      <c r="A25" s="1"/>
      <c r="L25" s="1"/>
      <c r="M25" s="128" t="e">
        <f>M16</f>
        <v>#DIV/0!</v>
      </c>
      <c r="N25" s="1"/>
      <c r="O25" s="169" t="e">
        <f>O9</f>
        <v>#DIV/0!</v>
      </c>
      <c r="P25" s="1"/>
      <c r="Q25" s="130" t="e">
        <f t="shared" si="12"/>
        <v>#DIV/0!</v>
      </c>
      <c r="R25" s="130" t="e">
        <f t="shared" si="12"/>
        <v>#DIV/0!</v>
      </c>
      <c r="S25" s="130" t="e">
        <f t="shared" si="12"/>
        <v>#DIV/0!</v>
      </c>
      <c r="T25" s="1"/>
      <c r="U25" s="130" t="e">
        <f t="shared" si="13"/>
        <v>#DIV/0!</v>
      </c>
      <c r="V25" s="130" t="e">
        <f t="shared" si="13"/>
        <v>#DIV/0!</v>
      </c>
      <c r="W25" s="130" t="e">
        <f t="shared" si="13"/>
        <v>#DIV/0!</v>
      </c>
      <c r="X25" s="1"/>
      <c r="Y25" s="1"/>
      <c r="Z25" s="1"/>
      <c r="AA25" s="1"/>
    </row>
    <row r="26" spans="1:27" x14ac:dyDescent="0.2">
      <c r="A26" s="54" t="s">
        <v>142</v>
      </c>
      <c r="B26" s="1"/>
      <c r="C26" s="1"/>
      <c r="D26" s="170" t="s">
        <v>143</v>
      </c>
      <c r="E26" s="170">
        <v>2025</v>
      </c>
      <c r="F26" s="170">
        <f>E26+1</f>
        <v>2026</v>
      </c>
      <c r="G26" s="170">
        <f>F26+1</f>
        <v>2027</v>
      </c>
      <c r="H26" s="170">
        <f>G26+1</f>
        <v>2028</v>
      </c>
      <c r="I26" s="170">
        <f>H26+1</f>
        <v>2029</v>
      </c>
      <c r="J26" s="170">
        <f>I26+1</f>
        <v>2030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AA26" s="1"/>
    </row>
    <row r="27" spans="1:27" x14ac:dyDescent="0.2">
      <c r="A27" s="3"/>
      <c r="B27" s="171"/>
      <c r="C27" s="171"/>
      <c r="D27" s="172"/>
      <c r="E27" s="173"/>
      <c r="F27" s="173"/>
      <c r="G27" s="173"/>
      <c r="H27" s="173"/>
      <c r="I27" s="173"/>
      <c r="J27" s="173"/>
      <c r="L27" s="1"/>
      <c r="M27" s="1"/>
      <c r="N27" s="1"/>
      <c r="O27" s="1"/>
      <c r="P27" s="1"/>
      <c r="Q27" s="108" t="s">
        <v>115</v>
      </c>
      <c r="R27" s="109"/>
      <c r="S27" s="109"/>
      <c r="T27" s="1"/>
      <c r="U27" s="108" t="s">
        <v>116</v>
      </c>
      <c r="V27" s="109"/>
      <c r="W27" s="109"/>
      <c r="X27" s="1"/>
      <c r="Y27" s="1"/>
      <c r="Z27" s="1"/>
      <c r="AA27" s="1"/>
    </row>
    <row r="28" spans="1:27" x14ac:dyDescent="0.2">
      <c r="A28" s="3"/>
      <c r="B28" s="171"/>
      <c r="C28" s="171"/>
      <c r="D28" s="172"/>
      <c r="E28" s="173"/>
      <c r="F28" s="173"/>
      <c r="G28" s="173"/>
      <c r="H28" s="173"/>
      <c r="I28" s="173"/>
      <c r="J28" s="173"/>
      <c r="L28" s="1"/>
      <c r="M28" s="11" t="s">
        <v>101</v>
      </c>
      <c r="N28" s="1"/>
      <c r="O28" s="11" t="s">
        <v>118</v>
      </c>
      <c r="P28" s="1"/>
      <c r="Q28" s="112" t="s">
        <v>140</v>
      </c>
      <c r="R28" s="113"/>
      <c r="S28" s="113"/>
      <c r="T28" s="1"/>
      <c r="U28" s="112" t="s">
        <v>140</v>
      </c>
      <c r="V28" s="113"/>
      <c r="W28" s="113"/>
      <c r="X28" s="1"/>
      <c r="Y28" s="1"/>
      <c r="Z28" s="1"/>
      <c r="AA28" s="1"/>
    </row>
    <row r="29" spans="1:27" x14ac:dyDescent="0.2">
      <c r="A29" s="54"/>
      <c r="B29" s="171"/>
      <c r="C29" s="171"/>
      <c r="D29" s="135"/>
      <c r="E29" s="135"/>
      <c r="F29" s="135"/>
      <c r="G29" s="135"/>
      <c r="H29" s="135"/>
      <c r="I29" s="135"/>
      <c r="J29" s="135"/>
      <c r="L29" s="1"/>
      <c r="M29" s="117" t="s">
        <v>106</v>
      </c>
      <c r="N29" s="1"/>
      <c r="O29" s="117" t="s">
        <v>121</v>
      </c>
      <c r="P29" s="1"/>
      <c r="Q29" s="163">
        <f>Q22</f>
        <v>11.5</v>
      </c>
      <c r="R29" s="163">
        <f>R22</f>
        <v>12.5</v>
      </c>
      <c r="S29" s="163">
        <f>S22</f>
        <v>13.5</v>
      </c>
      <c r="T29" s="1"/>
      <c r="U29" s="163">
        <f>Q29</f>
        <v>11.5</v>
      </c>
      <c r="V29" s="163">
        <f>R29</f>
        <v>12.5</v>
      </c>
      <c r="W29" s="163">
        <f>S29</f>
        <v>13.5</v>
      </c>
      <c r="X29" s="1"/>
      <c r="Y29" s="1"/>
      <c r="Z29" s="1"/>
      <c r="AA29" s="1"/>
    </row>
    <row r="30" spans="1:27" x14ac:dyDescent="0.2">
      <c r="A30" s="3"/>
      <c r="B30" s="171"/>
      <c r="C30" s="171"/>
      <c r="D30" s="172"/>
      <c r="E30" s="173"/>
      <c r="F30" s="173"/>
      <c r="G30" s="173"/>
      <c r="H30" s="173"/>
      <c r="I30" s="173"/>
      <c r="J30" s="173"/>
      <c r="K30" s="1"/>
      <c r="L30" s="1"/>
      <c r="M30" s="121" t="e">
        <f>M23</f>
        <v>#DIV/0!</v>
      </c>
      <c r="N30" s="122"/>
      <c r="O30" s="174">
        <f>O14</f>
        <v>54.7</v>
      </c>
      <c r="P30" s="122"/>
      <c r="Q30" s="124" t="e">
        <f t="shared" ref="Q30:S32" si="14">U23+$O30</f>
        <v>#DIV/0!</v>
      </c>
      <c r="R30" s="124" t="e">
        <f t="shared" si="14"/>
        <v>#DIV/0!</v>
      </c>
      <c r="S30" s="124" t="e">
        <f t="shared" si="14"/>
        <v>#DIV/0!</v>
      </c>
      <c r="T30" s="138"/>
      <c r="U30" s="139" t="e">
        <f t="shared" ref="U30:W32" si="15">Q30/$D$40</f>
        <v>#DIV/0!</v>
      </c>
      <c r="V30" s="140" t="e">
        <f t="shared" si="15"/>
        <v>#DIV/0!</v>
      </c>
      <c r="W30" s="139" t="e">
        <f t="shared" si="15"/>
        <v>#DIV/0!</v>
      </c>
      <c r="X30" s="1"/>
      <c r="Y30" s="1"/>
      <c r="Z30" s="1"/>
      <c r="AA30" s="1"/>
    </row>
    <row r="31" spans="1:27" x14ac:dyDescent="0.2">
      <c r="A31" s="56"/>
      <c r="B31" s="171"/>
      <c r="C31" s="171"/>
      <c r="D31" s="175"/>
      <c r="E31" s="175"/>
      <c r="F31" s="175"/>
      <c r="G31" s="175"/>
      <c r="H31" s="175"/>
      <c r="I31" s="175"/>
      <c r="J31" s="175"/>
      <c r="K31" s="1"/>
      <c r="L31" s="1"/>
      <c r="M31" s="121" t="e">
        <f>M24</f>
        <v>#DIV/0!</v>
      </c>
      <c r="N31" s="122"/>
      <c r="O31" s="143">
        <f>O15</f>
        <v>54.7</v>
      </c>
      <c r="P31" s="126" t="s">
        <v>85</v>
      </c>
      <c r="Q31" s="124" t="e">
        <f t="shared" si="14"/>
        <v>#DIV/0!</v>
      </c>
      <c r="R31" s="124" t="e">
        <f t="shared" si="14"/>
        <v>#DIV/0!</v>
      </c>
      <c r="S31" s="124" t="e">
        <f t="shared" si="14"/>
        <v>#DIV/0!</v>
      </c>
      <c r="T31" s="122"/>
      <c r="U31" s="139" t="e">
        <f t="shared" si="15"/>
        <v>#DIV/0!</v>
      </c>
      <c r="V31" s="144" t="e">
        <f t="shared" si="15"/>
        <v>#DIV/0!</v>
      </c>
      <c r="W31" s="139" t="e">
        <f t="shared" si="15"/>
        <v>#DIV/0!</v>
      </c>
      <c r="X31" s="1"/>
      <c r="Y31" s="1"/>
      <c r="Z31" s="1"/>
      <c r="AA31" s="1"/>
    </row>
    <row r="32" spans="1:27" x14ac:dyDescent="0.2">
      <c r="A32" s="56" t="s">
        <v>142</v>
      </c>
      <c r="B32" s="1"/>
      <c r="C32" s="1"/>
      <c r="D32" s="135">
        <f t="shared" ref="D32:I32" si="16">D29-D31</f>
        <v>0</v>
      </c>
      <c r="E32" s="135">
        <f t="shared" si="16"/>
        <v>0</v>
      </c>
      <c r="F32" s="135">
        <f t="shared" si="16"/>
        <v>0</v>
      </c>
      <c r="G32" s="135">
        <f t="shared" si="16"/>
        <v>0</v>
      </c>
      <c r="H32" s="135">
        <f t="shared" si="16"/>
        <v>0</v>
      </c>
      <c r="I32" s="135">
        <f t="shared" si="16"/>
        <v>0</v>
      </c>
      <c r="J32" s="135">
        <f t="shared" ref="J32" si="17">J29-J31</f>
        <v>0</v>
      </c>
      <c r="K32" s="1"/>
      <c r="L32" s="1"/>
      <c r="M32" s="128" t="e">
        <f>M25</f>
        <v>#DIV/0!</v>
      </c>
      <c r="N32" s="1"/>
      <c r="O32" s="146">
        <f>O16</f>
        <v>54.7</v>
      </c>
      <c r="P32" s="1"/>
      <c r="Q32" s="130" t="e">
        <f t="shared" si="14"/>
        <v>#DIV/0!</v>
      </c>
      <c r="R32" s="130" t="e">
        <f t="shared" si="14"/>
        <v>#DIV/0!</v>
      </c>
      <c r="S32" s="130" t="e">
        <f t="shared" si="14"/>
        <v>#DIV/0!</v>
      </c>
      <c r="T32" s="1"/>
      <c r="U32" s="140" t="e">
        <f t="shared" si="15"/>
        <v>#DIV/0!</v>
      </c>
      <c r="V32" s="140" t="e">
        <f t="shared" si="15"/>
        <v>#DIV/0!</v>
      </c>
      <c r="W32" s="140" t="e">
        <f t="shared" si="15"/>
        <v>#DIV/0!</v>
      </c>
      <c r="X32" s="1"/>
      <c r="Y32" s="1"/>
      <c r="Z32" s="1"/>
      <c r="AA32" s="1"/>
    </row>
    <row r="33" spans="1:27" x14ac:dyDescent="0.2">
      <c r="A33" s="54" t="s">
        <v>146</v>
      </c>
      <c r="B33" s="1"/>
      <c r="C33" s="1"/>
      <c r="D33" s="1"/>
      <c r="E33" s="176">
        <f>E32-D32</f>
        <v>0</v>
      </c>
      <c r="F33" s="176">
        <f>F32-E32</f>
        <v>0</v>
      </c>
      <c r="G33" s="176">
        <f>G32-F32</f>
        <v>0</v>
      </c>
      <c r="H33" s="176">
        <f>H32-G32</f>
        <v>0</v>
      </c>
      <c r="I33" s="176">
        <f>I32-H32</f>
        <v>0</v>
      </c>
      <c r="J33" s="176">
        <f>J32-I32</f>
        <v>0</v>
      </c>
      <c r="K33" s="1"/>
      <c r="L33" s="1"/>
      <c r="X33" s="1"/>
      <c r="Y33" s="1"/>
      <c r="Z33" s="1"/>
      <c r="AA33" s="1"/>
    </row>
    <row r="34" spans="1:27" x14ac:dyDescent="0.2">
      <c r="A34" s="1"/>
      <c r="G34" s="1"/>
      <c r="H34" s="1"/>
      <c r="I34" s="1"/>
      <c r="J34" s="1"/>
      <c r="K34" s="1"/>
      <c r="L34" s="1"/>
      <c r="Q34" s="108" t="s">
        <v>116</v>
      </c>
      <c r="R34" s="109"/>
      <c r="S34" s="109"/>
      <c r="T34" s="1"/>
      <c r="U34" s="108" t="s">
        <v>116</v>
      </c>
      <c r="V34" s="109"/>
      <c r="W34" s="109"/>
      <c r="X34" s="1"/>
      <c r="Y34" s="1"/>
      <c r="Z34" s="1"/>
      <c r="AA34" s="1"/>
    </row>
    <row r="35" spans="1:27" x14ac:dyDescent="0.2">
      <c r="A35" s="1"/>
      <c r="B35" s="1" t="s">
        <v>147</v>
      </c>
      <c r="C35" s="1"/>
      <c r="D35" s="177">
        <f>'[1]LF Diff'!Z2</f>
        <v>28.39</v>
      </c>
      <c r="E35" s="119" t="s">
        <v>148</v>
      </c>
      <c r="F35" s="2"/>
      <c r="K35" s="1"/>
      <c r="L35" s="1"/>
      <c r="O35" s="11" t="s">
        <v>101</v>
      </c>
      <c r="P35" s="1"/>
      <c r="Q35" s="112" t="s">
        <v>103</v>
      </c>
      <c r="R35" s="113"/>
      <c r="S35" s="113"/>
      <c r="T35" s="1"/>
      <c r="U35" s="112" t="s">
        <v>140</v>
      </c>
      <c r="V35" s="113"/>
      <c r="W35" s="113"/>
      <c r="X35" s="1"/>
      <c r="Y35" s="1"/>
      <c r="Z35" s="1"/>
      <c r="AA35" s="1"/>
    </row>
    <row r="36" spans="1:27" x14ac:dyDescent="0.2">
      <c r="A36" s="1"/>
      <c r="B36" s="1" t="s">
        <v>149</v>
      </c>
      <c r="C36" s="1"/>
      <c r="D36" s="140" t="e">
        <f>V15</f>
        <v>#DIV/0!</v>
      </c>
      <c r="E36" s="178" t="e">
        <f>D36/$D$35-1</f>
        <v>#DIV/0!</v>
      </c>
      <c r="K36" s="1"/>
      <c r="L36" s="1"/>
      <c r="O36" s="117" t="s">
        <v>106</v>
      </c>
      <c r="P36" s="1"/>
      <c r="Q36" s="118">
        <v>0.02</v>
      </c>
      <c r="R36" s="118">
        <v>2.5000000000000001E-2</v>
      </c>
      <c r="S36" s="118">
        <v>3.0000000000000002E-2</v>
      </c>
      <c r="T36" s="1"/>
      <c r="U36" s="163">
        <v>11.5</v>
      </c>
      <c r="V36" s="163">
        <v>12.5</v>
      </c>
      <c r="W36" s="163">
        <v>13.5</v>
      </c>
      <c r="X36" s="1"/>
      <c r="Y36" s="1"/>
      <c r="Z36" s="1"/>
      <c r="AA36" s="1"/>
    </row>
    <row r="37" spans="1:27" x14ac:dyDescent="0.2">
      <c r="A37" s="1"/>
      <c r="B37" s="1" t="s">
        <v>84</v>
      </c>
      <c r="C37" s="1"/>
      <c r="D37" s="140" t="e">
        <f>V31</f>
        <v>#DIV/0!</v>
      </c>
      <c r="E37" s="178" t="e">
        <f>D37/$D$35-1</f>
        <v>#DIV/0!</v>
      </c>
      <c r="O37" s="121">
        <v>7.7015315464659284E-2</v>
      </c>
      <c r="P37" s="122"/>
      <c r="Q37" s="139">
        <v>38.521630192049024</v>
      </c>
      <c r="R37" s="140">
        <v>41.574820174095208</v>
      </c>
      <c r="S37" s="139">
        <v>45.277413430770345</v>
      </c>
      <c r="T37" s="138"/>
      <c r="U37" s="139">
        <v>35.397430492554918</v>
      </c>
      <c r="V37" s="140">
        <v>37.741506613526617</v>
      </c>
      <c r="W37" s="139">
        <v>40.085582734498324</v>
      </c>
      <c r="X37" s="1"/>
      <c r="Y37" s="1"/>
      <c r="Z37" s="1"/>
      <c r="AA37" s="1"/>
    </row>
    <row r="38" spans="1:27" x14ac:dyDescent="0.2">
      <c r="A38" s="1"/>
      <c r="B38" s="179" t="s">
        <v>150</v>
      </c>
      <c r="C38" s="179"/>
      <c r="D38" s="180" t="e">
        <f>AVERAGE(D36:D37)</f>
        <v>#DIV/0!</v>
      </c>
      <c r="E38" s="181" t="e">
        <f>D38/$D$35-1</f>
        <v>#DIV/0!</v>
      </c>
      <c r="O38" s="121">
        <v>8.2015315464659289E-2</v>
      </c>
      <c r="P38" s="126" t="s">
        <v>85</v>
      </c>
      <c r="Q38" s="139">
        <v>35.436165319656759</v>
      </c>
      <c r="R38" s="144">
        <v>37.955847455870241</v>
      </c>
      <c r="S38" s="139">
        <v>40.959941176192174</v>
      </c>
      <c r="T38" s="126" t="s">
        <v>85</v>
      </c>
      <c r="U38" s="139">
        <v>34.690606154528041</v>
      </c>
      <c r="V38" s="144">
        <v>36.981020557794068</v>
      </c>
      <c r="W38" s="139">
        <v>39.271434961060102</v>
      </c>
      <c r="X38" s="1"/>
      <c r="AA38" s="1"/>
    </row>
    <row r="39" spans="1:27" x14ac:dyDescent="0.2">
      <c r="A39" s="1"/>
      <c r="O39" s="128">
        <v>8.7015315464659293E-2</v>
      </c>
      <c r="P39" s="1"/>
      <c r="Q39" s="140">
        <v>32.812761967560903</v>
      </c>
      <c r="R39" s="140">
        <v>34.922144423699358</v>
      </c>
      <c r="S39" s="140">
        <v>37.401494569913304</v>
      </c>
      <c r="T39" s="1"/>
      <c r="U39" s="140">
        <v>34.002446002380594</v>
      </c>
      <c r="V39" s="140">
        <v>36.240666099013104</v>
      </c>
      <c r="W39" s="140">
        <v>38.478886195645622</v>
      </c>
      <c r="X39" s="1"/>
      <c r="AA39" s="1"/>
    </row>
    <row r="40" spans="1:27" x14ac:dyDescent="0.2">
      <c r="A40" s="1"/>
      <c r="B40" s="1" t="s">
        <v>151</v>
      </c>
      <c r="C40" s="1"/>
      <c r="D40" s="130">
        <f>'Income Statement'!AA37</f>
        <v>4452.5038376651801</v>
      </c>
      <c r="X40" s="1"/>
      <c r="AA40" s="1"/>
    </row>
    <row r="41" spans="1:27" x14ac:dyDescent="0.2">
      <c r="A41" s="1"/>
      <c r="X41" s="1"/>
      <c r="AA41" s="1"/>
    </row>
    <row r="42" spans="1:27" x14ac:dyDescent="0.2">
      <c r="A42" s="1"/>
      <c r="X42" s="1"/>
      <c r="AA42" s="1"/>
    </row>
    <row r="43" spans="1:27" x14ac:dyDescent="0.2">
      <c r="A43" s="1"/>
      <c r="X43" s="1"/>
      <c r="AA43" s="1"/>
    </row>
    <row r="44" spans="1:27" x14ac:dyDescent="0.2">
      <c r="A44" s="1"/>
      <c r="X44" s="1"/>
      <c r="AA44" s="1"/>
    </row>
    <row r="45" spans="1:27" x14ac:dyDescent="0.2">
      <c r="A45" s="1"/>
      <c r="X45" s="1"/>
      <c r="AA45" s="1"/>
    </row>
    <row r="46" spans="1:27" x14ac:dyDescent="0.2">
      <c r="A46" s="1"/>
      <c r="X46" s="1"/>
      <c r="AA46" s="1"/>
    </row>
  </sheetData>
  <mergeCells count="23">
    <mergeCell ref="Q34:S34"/>
    <mergeCell ref="U34:W34"/>
    <mergeCell ref="Q35:S35"/>
    <mergeCell ref="U35:W35"/>
    <mergeCell ref="Q21:S21"/>
    <mergeCell ref="U21:W21"/>
    <mergeCell ref="Q27:S27"/>
    <mergeCell ref="U27:W27"/>
    <mergeCell ref="Q28:S28"/>
    <mergeCell ref="U28:W28"/>
    <mergeCell ref="Q12:S12"/>
    <mergeCell ref="U12:W12"/>
    <mergeCell ref="M18:W18"/>
    <mergeCell ref="F20:K20"/>
    <mergeCell ref="Q20:S20"/>
    <mergeCell ref="U20:W20"/>
    <mergeCell ref="M2:W2"/>
    <mergeCell ref="Q4:S4"/>
    <mergeCell ref="U4:W4"/>
    <mergeCell ref="Q5:S5"/>
    <mergeCell ref="U5:W5"/>
    <mergeCell ref="Q11:S11"/>
    <mergeCell ref="U11:W11"/>
  </mergeCells>
  <pageMargins left="0.7" right="0.7" top="0.75" bottom="0.75" header="0.3" footer="0.3"/>
  <pageSetup paperSize="9" orientation="portrait" horizontalDpi="0" verticalDpi="0"/>
  <ignoredErrors>
    <ignoredError sqref="K14" formula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BEC6-9309-3846-B84D-EEDAFB7F55E2}">
  <dimension ref="A1:AE48"/>
  <sheetViews>
    <sheetView zoomScale="50" zoomScaleNormal="89" workbookViewId="0">
      <selection activeCell="B10" sqref="B10"/>
    </sheetView>
  </sheetViews>
  <sheetFormatPr baseColWidth="10" defaultRowHeight="16" x14ac:dyDescent="0.2"/>
  <cols>
    <col min="1" max="1" width="32.83203125" bestFit="1" customWidth="1"/>
    <col min="2" max="26" width="12.5" bestFit="1" customWidth="1"/>
  </cols>
  <sheetData>
    <row r="1" spans="1:31" x14ac:dyDescent="0.2">
      <c r="A1" s="182" t="s">
        <v>152</v>
      </c>
      <c r="B1" s="51" t="s">
        <v>191</v>
      </c>
      <c r="C1" s="51" t="s">
        <v>192</v>
      </c>
      <c r="D1" s="51" t="s">
        <v>193</v>
      </c>
      <c r="E1" s="51" t="s">
        <v>194</v>
      </c>
      <c r="F1" s="51" t="s">
        <v>195</v>
      </c>
      <c r="G1" s="51" t="s">
        <v>196</v>
      </c>
      <c r="H1" s="51" t="s">
        <v>197</v>
      </c>
      <c r="I1" s="51" t="s">
        <v>198</v>
      </c>
      <c r="J1" s="51" t="s">
        <v>199</v>
      </c>
      <c r="K1" s="51" t="s">
        <v>200</v>
      </c>
      <c r="L1" s="51" t="s">
        <v>201</v>
      </c>
      <c r="M1" s="51" t="s">
        <v>202</v>
      </c>
      <c r="N1" s="51" t="s">
        <v>203</v>
      </c>
      <c r="O1" s="51" t="s">
        <v>204</v>
      </c>
      <c r="P1" s="51" t="s">
        <v>205</v>
      </c>
      <c r="Q1" s="51" t="s">
        <v>206</v>
      </c>
      <c r="R1" s="51" t="s">
        <v>207</v>
      </c>
      <c r="S1" s="51" t="s">
        <v>208</v>
      </c>
      <c r="T1" s="51" t="s">
        <v>209</v>
      </c>
      <c r="U1" s="51" t="s">
        <v>210</v>
      </c>
      <c r="V1" s="51" t="s">
        <v>211</v>
      </c>
      <c r="W1" s="51" t="s">
        <v>212</v>
      </c>
      <c r="X1" s="51" t="s">
        <v>213</v>
      </c>
      <c r="Y1" s="51" t="s">
        <v>214</v>
      </c>
      <c r="Z1" s="5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</row>
    <row r="2" spans="1:31" x14ac:dyDescent="0.2">
      <c r="A2" s="183" t="s">
        <v>144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31" x14ac:dyDescent="0.2">
      <c r="A3" s="86" t="s">
        <v>153</v>
      </c>
      <c r="B3" s="51">
        <v>18653</v>
      </c>
      <c r="C3" s="51">
        <v>18822</v>
      </c>
      <c r="D3" s="51">
        <v>18899</v>
      </c>
      <c r="E3" s="51">
        <v>19621</v>
      </c>
      <c r="F3" s="51">
        <v>19621</v>
      </c>
      <c r="G3" s="51">
        <v>20289</v>
      </c>
      <c r="H3" s="51">
        <v>21706</v>
      </c>
      <c r="I3" s="51">
        <v>23222</v>
      </c>
      <c r="J3" s="51">
        <v>24388</v>
      </c>
      <c r="K3" s="51">
        <v>24388</v>
      </c>
      <c r="L3" s="51">
        <v>25615</v>
      </c>
      <c r="M3" s="51">
        <v>28020</v>
      </c>
      <c r="N3" s="51">
        <v>29534</v>
      </c>
      <c r="O3" s="51">
        <v>31811</v>
      </c>
      <c r="P3" s="51">
        <v>31811</v>
      </c>
      <c r="Q3" s="51">
        <v>33600</v>
      </c>
      <c r="R3" s="51">
        <v>36356</v>
      </c>
      <c r="S3" s="51">
        <v>37944</v>
      </c>
      <c r="T3" s="51">
        <v>40849</v>
      </c>
      <c r="U3" s="51">
        <v>40849</v>
      </c>
      <c r="V3" s="51">
        <v>49480.817260273972</v>
      </c>
      <c r="W3" s="51">
        <v>51744.665539726033</v>
      </c>
      <c r="X3" s="51">
        <v>53554.607030136984</v>
      </c>
      <c r="Y3" s="51">
        <v>55622.909095890413</v>
      </c>
      <c r="Z3" s="51">
        <v>55622.909095890413</v>
      </c>
      <c r="AA3">
        <v>63491.34607150685</v>
      </c>
      <c r="AB3">
        <v>66077.478395289872</v>
      </c>
      <c r="AC3">
        <v>68691.296191786954</v>
      </c>
      <c r="AD3">
        <v>72122.520556564399</v>
      </c>
      <c r="AE3">
        <v>75801.099520910429</v>
      </c>
    </row>
    <row r="4" spans="1:31" x14ac:dyDescent="0.2">
      <c r="A4" s="86" t="s">
        <v>154</v>
      </c>
      <c r="B4" s="51">
        <v>28029</v>
      </c>
      <c r="C4" s="51">
        <v>26098</v>
      </c>
      <c r="D4" s="51">
        <v>29860</v>
      </c>
      <c r="E4" s="51">
        <v>40643</v>
      </c>
      <c r="F4" s="51">
        <v>40643</v>
      </c>
      <c r="G4" s="51">
        <v>36241</v>
      </c>
      <c r="H4" s="51">
        <v>40826</v>
      </c>
      <c r="I4" s="51">
        <v>45563</v>
      </c>
      <c r="J4" s="51">
        <v>50560</v>
      </c>
      <c r="K4" s="51">
        <v>50560</v>
      </c>
      <c r="L4" s="51">
        <v>50502</v>
      </c>
      <c r="M4" s="51">
        <v>61294</v>
      </c>
      <c r="N4" s="51">
        <v>52602</v>
      </c>
      <c r="O4" s="51">
        <v>64770</v>
      </c>
      <c r="P4" s="51">
        <v>64770</v>
      </c>
      <c r="Q4" s="51">
        <v>56999</v>
      </c>
      <c r="R4" s="51">
        <v>63565</v>
      </c>
      <c r="S4" s="51">
        <v>66299</v>
      </c>
      <c r="T4" s="51">
        <v>71949</v>
      </c>
      <c r="U4" s="51">
        <v>71949</v>
      </c>
      <c r="V4" s="51">
        <v>73596.000876712336</v>
      </c>
      <c r="W4" s="51">
        <v>77778.288876712337</v>
      </c>
      <c r="X4" s="51">
        <v>82128.784657534241</v>
      </c>
      <c r="Y4" s="51">
        <v>86194.273753424655</v>
      </c>
      <c r="Z4" s="51">
        <v>86194.273753424655</v>
      </c>
      <c r="AA4">
        <v>98883.519752328764</v>
      </c>
      <c r="AB4">
        <v>103187.19391585754</v>
      </c>
      <c r="AC4">
        <v>107491.1878850057</v>
      </c>
      <c r="AD4">
        <v>113056.76507451902</v>
      </c>
      <c r="AE4">
        <v>119002.16130346892</v>
      </c>
    </row>
    <row r="5" spans="1:31" x14ac:dyDescent="0.2">
      <c r="A5" s="86" t="s">
        <v>155</v>
      </c>
      <c r="B5" s="51">
        <v>1897</v>
      </c>
      <c r="C5" s="51">
        <v>344</v>
      </c>
      <c r="D5" s="51">
        <v>390</v>
      </c>
      <c r="E5" s="51">
        <v>1119</v>
      </c>
      <c r="F5" s="51">
        <v>1119</v>
      </c>
      <c r="G5" s="51">
        <v>3101</v>
      </c>
      <c r="H5" s="51">
        <v>1168</v>
      </c>
      <c r="I5" s="51">
        <v>2541</v>
      </c>
      <c r="J5" s="51">
        <v>940</v>
      </c>
      <c r="K5" s="51">
        <v>940</v>
      </c>
      <c r="L5" s="51">
        <v>1133</v>
      </c>
      <c r="M5" s="51">
        <v>2779</v>
      </c>
      <c r="N5" s="51">
        <v>1525</v>
      </c>
      <c r="O5" s="51">
        <v>2423</v>
      </c>
      <c r="P5" s="51">
        <v>2423</v>
      </c>
      <c r="Q5" s="51">
        <v>6108</v>
      </c>
      <c r="R5" s="51">
        <v>2898</v>
      </c>
      <c r="S5" s="51">
        <v>3198</v>
      </c>
      <c r="T5" s="51">
        <v>2853</v>
      </c>
      <c r="U5" s="51">
        <v>2853</v>
      </c>
      <c r="V5" s="51">
        <v>2853</v>
      </c>
      <c r="W5" s="51">
        <v>2853</v>
      </c>
      <c r="X5" s="51">
        <v>2853</v>
      </c>
      <c r="Y5" s="51">
        <v>2853</v>
      </c>
      <c r="Z5" s="51">
        <v>2853</v>
      </c>
      <c r="AA5">
        <v>2853</v>
      </c>
      <c r="AB5">
        <v>2853</v>
      </c>
      <c r="AC5">
        <v>2853</v>
      </c>
      <c r="AD5">
        <v>2853</v>
      </c>
      <c r="AE5">
        <v>2853</v>
      </c>
    </row>
    <row r="6" spans="1:31" x14ac:dyDescent="0.2">
      <c r="A6" s="86" t="s">
        <v>156</v>
      </c>
      <c r="B6" s="51">
        <v>3991</v>
      </c>
      <c r="C6" s="51">
        <v>3781</v>
      </c>
      <c r="D6" s="51">
        <v>5202</v>
      </c>
      <c r="E6" s="51">
        <v>5037</v>
      </c>
      <c r="F6" s="51">
        <v>5037</v>
      </c>
      <c r="G6" s="51">
        <v>4824</v>
      </c>
      <c r="H6" s="51">
        <v>4645</v>
      </c>
      <c r="I6" s="51">
        <v>5406</v>
      </c>
      <c r="J6" s="51">
        <v>6005</v>
      </c>
      <c r="K6" s="51">
        <v>6005</v>
      </c>
      <c r="L6" s="51">
        <v>6286</v>
      </c>
      <c r="M6" s="51">
        <v>6448</v>
      </c>
      <c r="N6" s="51">
        <v>7837</v>
      </c>
      <c r="O6" s="51">
        <v>8068</v>
      </c>
      <c r="P6" s="51">
        <v>8068</v>
      </c>
      <c r="Q6" s="51">
        <v>8643</v>
      </c>
      <c r="R6" s="51">
        <v>9667</v>
      </c>
      <c r="S6" s="51">
        <v>10132</v>
      </c>
      <c r="T6" s="51">
        <v>12612</v>
      </c>
      <c r="U6" s="51">
        <v>12612</v>
      </c>
      <c r="V6" s="51">
        <v>12612</v>
      </c>
      <c r="W6" s="51">
        <v>12612</v>
      </c>
      <c r="X6" s="51">
        <v>12612</v>
      </c>
      <c r="Y6" s="51">
        <v>12612</v>
      </c>
      <c r="Z6" s="51">
        <v>12612</v>
      </c>
      <c r="AA6">
        <v>12612</v>
      </c>
      <c r="AB6">
        <v>12612</v>
      </c>
      <c r="AC6">
        <v>12612</v>
      </c>
      <c r="AD6">
        <v>12612</v>
      </c>
      <c r="AE6">
        <v>12612</v>
      </c>
    </row>
    <row r="7" spans="1:31" x14ac:dyDescent="0.2">
      <c r="A7" s="86" t="s">
        <v>157</v>
      </c>
      <c r="B7" s="51">
        <v>1983</v>
      </c>
      <c r="C7" s="51">
        <v>2987</v>
      </c>
      <c r="D7" s="51">
        <v>5897</v>
      </c>
      <c r="E7" s="51">
        <v>6765</v>
      </c>
      <c r="F7" s="51">
        <v>6765</v>
      </c>
      <c r="G7" s="51">
        <v>6752</v>
      </c>
      <c r="H7" s="51">
        <v>8279</v>
      </c>
      <c r="I7" s="51">
        <v>9008</v>
      </c>
      <c r="J7" s="51">
        <v>10921</v>
      </c>
      <c r="K7" s="51">
        <v>10921</v>
      </c>
      <c r="L7" s="51">
        <v>12835</v>
      </c>
      <c r="M7" s="51">
        <v>14834</v>
      </c>
      <c r="N7" s="51">
        <v>17451</v>
      </c>
      <c r="O7" s="51">
        <v>15838</v>
      </c>
      <c r="P7" s="51">
        <v>15838</v>
      </c>
      <c r="Q7" s="51">
        <v>2979</v>
      </c>
      <c r="R7" s="51">
        <v>9833</v>
      </c>
      <c r="S7" s="51">
        <v>17863</v>
      </c>
      <c r="T7" s="51">
        <v>10653</v>
      </c>
      <c r="U7" s="51">
        <v>10653</v>
      </c>
      <c r="V7" s="51">
        <v>10653</v>
      </c>
      <c r="W7" s="51">
        <v>10653</v>
      </c>
      <c r="X7" s="51">
        <v>10653</v>
      </c>
      <c r="Y7" s="51">
        <v>10653</v>
      </c>
      <c r="Z7" s="51">
        <v>10653</v>
      </c>
      <c r="AA7">
        <v>10653</v>
      </c>
      <c r="AB7">
        <v>10653</v>
      </c>
      <c r="AC7">
        <v>10653</v>
      </c>
      <c r="AD7">
        <v>10653</v>
      </c>
      <c r="AE7">
        <v>10653</v>
      </c>
    </row>
    <row r="8" spans="1:31" x14ac:dyDescent="0.2">
      <c r="A8" s="86" t="s">
        <v>158</v>
      </c>
      <c r="B8" s="51">
        <v>1153</v>
      </c>
      <c r="C8" s="51">
        <v>885</v>
      </c>
      <c r="D8" s="51">
        <v>1472</v>
      </c>
      <c r="E8" s="51">
        <v>1690</v>
      </c>
      <c r="F8" s="51">
        <v>1690</v>
      </c>
      <c r="G8" s="51">
        <v>1936</v>
      </c>
      <c r="H8" s="51">
        <v>3597</v>
      </c>
      <c r="I8" s="51">
        <v>5277</v>
      </c>
      <c r="J8" s="51">
        <v>2727</v>
      </c>
      <c r="K8" s="51">
        <v>2727</v>
      </c>
      <c r="L8" s="51">
        <v>2636</v>
      </c>
      <c r="M8" s="51">
        <v>2602</v>
      </c>
      <c r="N8" s="51">
        <v>3106</v>
      </c>
      <c r="O8" s="51">
        <v>2344</v>
      </c>
      <c r="P8" s="51">
        <v>2344</v>
      </c>
      <c r="Q8" s="51">
        <v>1768</v>
      </c>
      <c r="R8" s="51">
        <v>2360</v>
      </c>
      <c r="S8" s="51">
        <v>2706</v>
      </c>
      <c r="T8" s="51">
        <v>6326</v>
      </c>
      <c r="U8" s="51">
        <v>6326</v>
      </c>
      <c r="V8" s="51">
        <v>6326</v>
      </c>
      <c r="W8" s="51">
        <v>6326</v>
      </c>
      <c r="X8" s="51">
        <v>6326</v>
      </c>
      <c r="Y8" s="51">
        <v>6326</v>
      </c>
      <c r="Z8" s="51">
        <v>6326</v>
      </c>
      <c r="AA8">
        <v>6326</v>
      </c>
      <c r="AB8">
        <v>6326</v>
      </c>
      <c r="AC8">
        <v>6326</v>
      </c>
      <c r="AD8">
        <v>6326</v>
      </c>
      <c r="AE8">
        <v>6326</v>
      </c>
    </row>
    <row r="9" spans="1:31" x14ac:dyDescent="0.2">
      <c r="A9" s="86" t="s">
        <v>159</v>
      </c>
      <c r="B9" s="51">
        <v>5683</v>
      </c>
      <c r="C9" s="51">
        <v>24229</v>
      </c>
      <c r="D9" s="51">
        <v>29493</v>
      </c>
      <c r="E9" s="51">
        <v>10720</v>
      </c>
      <c r="F9" s="51">
        <v>10720</v>
      </c>
      <c r="G9" s="51">
        <v>13394</v>
      </c>
      <c r="H9" s="51">
        <v>22758</v>
      </c>
      <c r="I9" s="51">
        <v>28465</v>
      </c>
      <c r="J9" s="51">
        <v>12653</v>
      </c>
      <c r="K9" s="51">
        <v>12653</v>
      </c>
      <c r="L9" s="51">
        <v>14936</v>
      </c>
      <c r="M9" s="51">
        <v>21574</v>
      </c>
      <c r="N9" s="51">
        <v>30144</v>
      </c>
      <c r="O9" s="51">
        <v>14392</v>
      </c>
      <c r="P9" s="51">
        <v>14392</v>
      </c>
      <c r="Q9" s="51">
        <v>6324</v>
      </c>
      <c r="R9" s="51">
        <v>52821</v>
      </c>
      <c r="S9" s="51">
        <v>57018</v>
      </c>
      <c r="T9" s="51">
        <v>15655</v>
      </c>
      <c r="U9" s="51">
        <v>15655</v>
      </c>
      <c r="V9" s="51">
        <v>7969.9128439506676</v>
      </c>
      <c r="W9" s="51">
        <v>21125.809729281347</v>
      </c>
      <c r="X9" s="51">
        <v>22548.358389226982</v>
      </c>
      <c r="Y9" s="51">
        <v>42477.063068588133</v>
      </c>
      <c r="Z9" s="51">
        <v>42477.063068588133</v>
      </c>
      <c r="AA9">
        <v>92293.685344256373</v>
      </c>
      <c r="AB9">
        <v>159096.90292756079</v>
      </c>
      <c r="AC9">
        <v>237142.40857983544</v>
      </c>
      <c r="AD9">
        <v>326148.05486161658</v>
      </c>
      <c r="AE9">
        <v>428133.37539867475</v>
      </c>
    </row>
    <row r="10" spans="1:31" x14ac:dyDescent="0.2">
      <c r="A10" s="184" t="s">
        <v>160</v>
      </c>
      <c r="B10" s="51">
        <v>61389</v>
      </c>
      <c r="C10" s="51">
        <v>77146</v>
      </c>
      <c r="D10" s="51">
        <v>91213</v>
      </c>
      <c r="E10" s="51">
        <v>85595</v>
      </c>
      <c r="F10" s="51">
        <v>85595</v>
      </c>
      <c r="G10" s="51">
        <v>86537</v>
      </c>
      <c r="H10" s="51">
        <v>102979</v>
      </c>
      <c r="I10" s="51">
        <v>119482</v>
      </c>
      <c r="J10" s="51">
        <v>108194</v>
      </c>
      <c r="K10" s="51">
        <v>108194</v>
      </c>
      <c r="L10" s="51">
        <v>113943</v>
      </c>
      <c r="M10" s="51">
        <v>137551</v>
      </c>
      <c r="N10" s="51">
        <v>142199</v>
      </c>
      <c r="O10" s="51">
        <v>139646</v>
      </c>
      <c r="P10" s="51">
        <v>139646</v>
      </c>
      <c r="Q10" s="51">
        <v>116421</v>
      </c>
      <c r="R10" s="51">
        <v>177500</v>
      </c>
      <c r="S10" s="51">
        <v>195160</v>
      </c>
      <c r="T10" s="51">
        <v>160897</v>
      </c>
      <c r="U10" s="51">
        <v>160897</v>
      </c>
      <c r="V10" s="51">
        <v>163490.73098093699</v>
      </c>
      <c r="W10" s="51">
        <v>183092.7641457197</v>
      </c>
      <c r="X10" s="51">
        <v>190675.7500768982</v>
      </c>
      <c r="Y10" s="51">
        <v>216738.2459179032</v>
      </c>
      <c r="Z10" s="51">
        <v>216738.2459179032</v>
      </c>
      <c r="AA10">
        <v>287112.55116809194</v>
      </c>
      <c r="AB10">
        <v>360805.57523870817</v>
      </c>
      <c r="AC10">
        <v>445768.8926566281</v>
      </c>
      <c r="AD10">
        <v>543771.34049269999</v>
      </c>
      <c r="AE10">
        <v>655380.63622305403</v>
      </c>
    </row>
    <row r="11" spans="1:31" x14ac:dyDescent="0.2">
      <c r="A11" s="185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31" x14ac:dyDescent="0.2">
      <c r="A12" s="186" t="s">
        <v>161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31" x14ac:dyDescent="0.2">
      <c r="A13" s="86" t="s">
        <v>162</v>
      </c>
      <c r="B13" s="51">
        <v>20357</v>
      </c>
      <c r="C13" s="51">
        <v>20272</v>
      </c>
      <c r="D13" s="51">
        <v>20526</v>
      </c>
      <c r="E13" s="51">
        <v>43171</v>
      </c>
      <c r="F13" s="51">
        <v>43171</v>
      </c>
      <c r="G13" s="51">
        <v>43344</v>
      </c>
      <c r="H13" s="51">
        <v>44590</v>
      </c>
      <c r="I13" s="51">
        <v>46924</v>
      </c>
      <c r="J13" s="51">
        <v>51416</v>
      </c>
      <c r="K13" s="51">
        <v>51416</v>
      </c>
      <c r="L13" s="51">
        <v>50489</v>
      </c>
      <c r="M13" s="51">
        <v>50749</v>
      </c>
      <c r="N13" s="51">
        <v>55726</v>
      </c>
      <c r="O13" s="51">
        <v>60406</v>
      </c>
      <c r="P13" s="51">
        <v>60406</v>
      </c>
      <c r="Q13" s="51">
        <v>59640</v>
      </c>
      <c r="R13" s="51">
        <v>55501</v>
      </c>
      <c r="S13" s="51">
        <v>54488</v>
      </c>
      <c r="T13" s="51">
        <v>111090</v>
      </c>
      <c r="U13" s="51">
        <v>111090</v>
      </c>
      <c r="V13" s="51">
        <v>109720.39726027397</v>
      </c>
      <c r="W13" s="51">
        <v>108352.64984237192</v>
      </c>
      <c r="X13" s="51">
        <v>106987.10959778311</v>
      </c>
      <c r="Y13" s="51">
        <v>105638.77890148229</v>
      </c>
      <c r="Z13" s="51">
        <v>105638.77890148229</v>
      </c>
      <c r="AA13">
        <v>100455.05092984303</v>
      </c>
      <c r="AB13">
        <v>95432.298383350877</v>
      </c>
      <c r="AC13">
        <v>90660.683464183327</v>
      </c>
      <c r="AD13">
        <v>86127.649290974165</v>
      </c>
      <c r="AE13">
        <v>81821.266826425461</v>
      </c>
    </row>
    <row r="14" spans="1:31" x14ac:dyDescent="0.2">
      <c r="A14" s="86" t="s">
        <v>163</v>
      </c>
      <c r="B14" s="51">
        <v>51429</v>
      </c>
      <c r="C14" s="51">
        <v>52076</v>
      </c>
      <c r="D14" s="51">
        <v>52863</v>
      </c>
      <c r="E14" s="51">
        <v>55362</v>
      </c>
      <c r="F14" s="51">
        <v>55362</v>
      </c>
      <c r="G14" s="51">
        <v>56399</v>
      </c>
      <c r="H14" s="51">
        <v>59556</v>
      </c>
      <c r="I14" s="51">
        <v>63641</v>
      </c>
      <c r="J14" s="51">
        <v>66671</v>
      </c>
      <c r="K14" s="51">
        <v>66671</v>
      </c>
      <c r="L14" s="51">
        <v>70014</v>
      </c>
      <c r="M14" s="51">
        <v>75024</v>
      </c>
      <c r="N14" s="51">
        <v>81461</v>
      </c>
      <c r="O14" s="51">
        <v>90961</v>
      </c>
      <c r="P14" s="51">
        <v>90961</v>
      </c>
      <c r="Q14" s="51">
        <v>98230</v>
      </c>
      <c r="R14" s="51">
        <v>109980</v>
      </c>
      <c r="S14" s="51">
        <v>119832</v>
      </c>
      <c r="T14" s="51">
        <v>162488</v>
      </c>
      <c r="U14" s="51">
        <v>162488</v>
      </c>
      <c r="V14" s="51">
        <v>175883.74027397259</v>
      </c>
      <c r="W14" s="51">
        <v>189033.45993501219</v>
      </c>
      <c r="X14" s="51">
        <v>201936.41859141938</v>
      </c>
      <c r="Y14" s="51">
        <v>214627.98082929148</v>
      </c>
      <c r="Z14" s="51">
        <v>214627.98082929148</v>
      </c>
      <c r="AA14">
        <v>263460.5786883824</v>
      </c>
      <c r="AB14">
        <v>310335.64107363753</v>
      </c>
      <c r="AC14">
        <v>354163.82440385106</v>
      </c>
      <c r="AD14">
        <v>395143.17581760074</v>
      </c>
      <c r="AE14">
        <v>433458.8693894567</v>
      </c>
    </row>
    <row r="15" spans="1:31" x14ac:dyDescent="0.2">
      <c r="A15" s="86" t="s">
        <v>164</v>
      </c>
      <c r="B15" s="51">
        <v>563</v>
      </c>
      <c r="C15" s="51">
        <v>566</v>
      </c>
      <c r="D15" s="51">
        <v>561</v>
      </c>
      <c r="E15" s="51">
        <v>525</v>
      </c>
      <c r="F15" s="51">
        <v>525</v>
      </c>
      <c r="G15" s="51">
        <v>466</v>
      </c>
      <c r="H15" s="51">
        <v>463</v>
      </c>
      <c r="I15" s="51">
        <v>458</v>
      </c>
      <c r="J15" s="51">
        <v>327</v>
      </c>
      <c r="K15" s="51">
        <v>327</v>
      </c>
      <c r="L15" s="51">
        <v>270</v>
      </c>
      <c r="M15" s="51">
        <v>270</v>
      </c>
      <c r="N15" s="51">
        <v>269</v>
      </c>
      <c r="O15" s="51">
        <v>410</v>
      </c>
      <c r="P15" s="51">
        <v>410</v>
      </c>
      <c r="Q15" s="51">
        <v>407</v>
      </c>
      <c r="R15" s="51">
        <v>412</v>
      </c>
      <c r="S15" s="51">
        <v>404</v>
      </c>
      <c r="T15" s="51">
        <v>400</v>
      </c>
      <c r="U15" s="51">
        <v>400</v>
      </c>
      <c r="V15" s="51">
        <v>400</v>
      </c>
      <c r="W15" s="51">
        <v>400</v>
      </c>
      <c r="X15" s="51">
        <v>400</v>
      </c>
      <c r="Y15" s="51">
        <v>400</v>
      </c>
      <c r="Z15" s="51">
        <v>400</v>
      </c>
      <c r="AA15">
        <v>400</v>
      </c>
      <c r="AB15">
        <v>400</v>
      </c>
      <c r="AC15">
        <v>400</v>
      </c>
      <c r="AD15">
        <v>400</v>
      </c>
      <c r="AE15">
        <v>400</v>
      </c>
    </row>
    <row r="16" spans="1:31" x14ac:dyDescent="0.2">
      <c r="A16" s="86" t="s">
        <v>165</v>
      </c>
      <c r="B16" s="51">
        <v>5912</v>
      </c>
      <c r="C16" s="51">
        <v>6349</v>
      </c>
      <c r="D16" s="51">
        <v>7372</v>
      </c>
      <c r="E16" s="51">
        <v>8672</v>
      </c>
      <c r="F16" s="51">
        <v>8672</v>
      </c>
      <c r="G16" s="51">
        <v>9338</v>
      </c>
      <c r="H16" s="51">
        <v>10309</v>
      </c>
      <c r="I16" s="51">
        <v>11303</v>
      </c>
      <c r="J16" s="51">
        <v>13427</v>
      </c>
      <c r="K16" s="51">
        <v>13427</v>
      </c>
      <c r="L16" s="51">
        <v>14080</v>
      </c>
      <c r="M16" s="51">
        <v>15612</v>
      </c>
      <c r="N16" s="51">
        <v>18814</v>
      </c>
      <c r="O16" s="51">
        <v>20380</v>
      </c>
      <c r="P16" s="51">
        <v>20380</v>
      </c>
      <c r="Q16" s="51">
        <v>20967</v>
      </c>
      <c r="R16" s="51">
        <v>22565</v>
      </c>
      <c r="S16" s="51">
        <v>23458</v>
      </c>
      <c r="T16" s="51">
        <v>24627</v>
      </c>
      <c r="U16" s="51">
        <v>24627</v>
      </c>
      <c r="V16" s="51">
        <v>24627</v>
      </c>
      <c r="W16" s="51">
        <v>24627</v>
      </c>
      <c r="X16" s="51">
        <v>24627</v>
      </c>
      <c r="Y16" s="51">
        <v>24627</v>
      </c>
      <c r="Z16" s="51">
        <v>24627</v>
      </c>
      <c r="AA16">
        <v>24627</v>
      </c>
      <c r="AB16">
        <v>24627</v>
      </c>
      <c r="AC16">
        <v>24627</v>
      </c>
      <c r="AD16">
        <v>24627</v>
      </c>
      <c r="AE16">
        <v>24627</v>
      </c>
    </row>
    <row r="17" spans="1:31" x14ac:dyDescent="0.2">
      <c r="A17" s="86" t="s">
        <v>156</v>
      </c>
      <c r="B17" s="51">
        <v>551</v>
      </c>
      <c r="C17" s="51">
        <v>413</v>
      </c>
      <c r="D17" s="51">
        <v>332</v>
      </c>
      <c r="E17" s="51">
        <v>267</v>
      </c>
      <c r="F17" s="51">
        <v>267</v>
      </c>
      <c r="G17" s="51">
        <v>239</v>
      </c>
      <c r="H17" s="51">
        <v>252</v>
      </c>
      <c r="I17" s="51">
        <v>247</v>
      </c>
      <c r="J17" s="51">
        <v>206</v>
      </c>
      <c r="K17" s="51">
        <v>206</v>
      </c>
      <c r="L17" s="51">
        <v>288</v>
      </c>
      <c r="M17" s="51">
        <v>338</v>
      </c>
      <c r="N17" s="51">
        <v>430</v>
      </c>
      <c r="O17" s="51">
        <v>1430</v>
      </c>
      <c r="P17" s="51">
        <v>1430</v>
      </c>
      <c r="Q17" s="51">
        <v>2012</v>
      </c>
      <c r="R17" s="51">
        <v>2178</v>
      </c>
      <c r="S17" s="51">
        <v>2456</v>
      </c>
      <c r="T17" s="51">
        <v>4016</v>
      </c>
      <c r="U17" s="51">
        <v>4016</v>
      </c>
      <c r="V17" s="51">
        <v>4016</v>
      </c>
      <c r="W17" s="51">
        <v>4016</v>
      </c>
      <c r="X17" s="51">
        <v>4016</v>
      </c>
      <c r="Y17" s="51">
        <v>4016</v>
      </c>
      <c r="Z17" s="51">
        <v>4016</v>
      </c>
      <c r="AA17">
        <v>4016</v>
      </c>
      <c r="AB17">
        <v>4016</v>
      </c>
      <c r="AC17">
        <v>4016</v>
      </c>
      <c r="AD17">
        <v>4016</v>
      </c>
      <c r="AE17">
        <v>4016</v>
      </c>
    </row>
    <row r="18" spans="1:31" x14ac:dyDescent="0.2">
      <c r="A18" s="86" t="s">
        <v>166</v>
      </c>
      <c r="B18" s="51">
        <v>1186</v>
      </c>
      <c r="C18" s="51">
        <v>1273</v>
      </c>
      <c r="D18" s="51">
        <v>1217</v>
      </c>
      <c r="E18" s="51">
        <v>916</v>
      </c>
      <c r="F18" s="51">
        <v>916</v>
      </c>
      <c r="G18" s="51">
        <v>813</v>
      </c>
      <c r="H18" s="51">
        <v>779</v>
      </c>
      <c r="I18" s="51">
        <v>781</v>
      </c>
      <c r="J18" s="51">
        <v>1016</v>
      </c>
      <c r="K18" s="51">
        <v>1016</v>
      </c>
      <c r="L18" s="51">
        <v>941</v>
      </c>
      <c r="M18" s="51">
        <v>1209</v>
      </c>
      <c r="N18" s="51">
        <v>1202</v>
      </c>
      <c r="O18" s="51">
        <v>1253</v>
      </c>
      <c r="P18" s="51">
        <v>1253</v>
      </c>
      <c r="Q18" s="51">
        <v>1244</v>
      </c>
      <c r="R18" s="51">
        <v>1247</v>
      </c>
      <c r="S18" s="51">
        <v>1643</v>
      </c>
      <c r="T18" s="51">
        <v>2277</v>
      </c>
      <c r="U18" s="51">
        <v>2277</v>
      </c>
      <c r="V18" s="51">
        <v>2277</v>
      </c>
      <c r="W18" s="51">
        <v>2277</v>
      </c>
      <c r="X18" s="51">
        <v>2277</v>
      </c>
      <c r="Y18" s="51">
        <v>2277</v>
      </c>
      <c r="Z18" s="51">
        <v>2277</v>
      </c>
      <c r="AA18">
        <v>2277</v>
      </c>
      <c r="AB18">
        <v>2277</v>
      </c>
      <c r="AC18">
        <v>2277</v>
      </c>
      <c r="AD18">
        <v>2277</v>
      </c>
      <c r="AE18">
        <v>2277</v>
      </c>
    </row>
    <row r="19" spans="1:31" x14ac:dyDescent="0.2">
      <c r="A19" s="184" t="s">
        <v>167</v>
      </c>
      <c r="B19" s="51">
        <v>79998</v>
      </c>
      <c r="C19" s="51">
        <v>80949</v>
      </c>
      <c r="D19" s="51">
        <v>82871</v>
      </c>
      <c r="E19" s="51">
        <v>108913</v>
      </c>
      <c r="F19" s="51">
        <v>108913</v>
      </c>
      <c r="G19" s="51">
        <v>110599</v>
      </c>
      <c r="H19" s="51">
        <v>115949</v>
      </c>
      <c r="I19" s="51">
        <v>123354</v>
      </c>
      <c r="J19" s="51">
        <v>133063</v>
      </c>
      <c r="K19" s="51">
        <v>133063</v>
      </c>
      <c r="L19" s="51">
        <v>136082</v>
      </c>
      <c r="M19" s="51">
        <v>143202</v>
      </c>
      <c r="N19" s="51">
        <v>157902</v>
      </c>
      <c r="O19" s="51">
        <v>174840</v>
      </c>
      <c r="P19" s="51">
        <v>174840</v>
      </c>
      <c r="Q19" s="51">
        <v>182500</v>
      </c>
      <c r="R19" s="51">
        <v>191883</v>
      </c>
      <c r="S19" s="51">
        <v>202281</v>
      </c>
      <c r="T19" s="51">
        <v>304898</v>
      </c>
      <c r="U19" s="51">
        <v>304898</v>
      </c>
      <c r="V19" s="51">
        <v>316924.13753424655</v>
      </c>
      <c r="W19" s="51">
        <v>328706.10977738409</v>
      </c>
      <c r="X19" s="51">
        <v>340243.52818920248</v>
      </c>
      <c r="Y19" s="51">
        <v>351586.75973077375</v>
      </c>
      <c r="Z19" s="51">
        <v>351586.75973077375</v>
      </c>
      <c r="AA19">
        <v>395235.62961822544</v>
      </c>
      <c r="AB19">
        <v>437087.93945698842</v>
      </c>
      <c r="AC19">
        <v>476144.50786803442</v>
      </c>
      <c r="AD19">
        <v>512590.82510857494</v>
      </c>
      <c r="AE19">
        <v>546600.13621588214</v>
      </c>
    </row>
    <row r="20" spans="1:31" x14ac:dyDescent="0.2">
      <c r="A20" s="183" t="s">
        <v>168</v>
      </c>
      <c r="B20" s="51">
        <v>141387</v>
      </c>
      <c r="C20" s="51">
        <v>158095</v>
      </c>
      <c r="D20" s="51">
        <v>174084</v>
      </c>
      <c r="E20" s="51">
        <v>194508</v>
      </c>
      <c r="F20" s="51">
        <v>194508</v>
      </c>
      <c r="G20" s="51">
        <v>197136</v>
      </c>
      <c r="H20" s="51">
        <v>218928</v>
      </c>
      <c r="I20" s="51">
        <v>242836</v>
      </c>
      <c r="J20" s="51">
        <v>241257</v>
      </c>
      <c r="K20" s="51">
        <v>241257</v>
      </c>
      <c r="L20" s="51">
        <v>250025</v>
      </c>
      <c r="M20" s="51">
        <v>280753</v>
      </c>
      <c r="N20" s="51">
        <v>300101</v>
      </c>
      <c r="O20" s="51">
        <v>314486</v>
      </c>
      <c r="P20" s="51">
        <v>314486</v>
      </c>
      <c r="Q20" s="51">
        <v>298921</v>
      </c>
      <c r="R20" s="51">
        <v>369383</v>
      </c>
      <c r="S20" s="51">
        <v>397441</v>
      </c>
      <c r="T20" s="51">
        <v>465795</v>
      </c>
      <c r="U20" s="51">
        <v>465795</v>
      </c>
      <c r="V20" s="51">
        <v>480414.86851518357</v>
      </c>
      <c r="W20" s="51">
        <v>511798.87392310379</v>
      </c>
      <c r="X20" s="51">
        <v>530919.27826610068</v>
      </c>
      <c r="Y20" s="51">
        <v>568325.005648677</v>
      </c>
      <c r="Z20" s="51">
        <v>568325.005648677</v>
      </c>
      <c r="AA20">
        <v>682348.18078631745</v>
      </c>
      <c r="AB20">
        <v>797893.51469569653</v>
      </c>
      <c r="AC20">
        <v>921913.40052466257</v>
      </c>
      <c r="AD20">
        <v>1056362.1656012749</v>
      </c>
      <c r="AE20">
        <v>1201980.7724389362</v>
      </c>
    </row>
    <row r="21" spans="1:31" x14ac:dyDescent="0.2">
      <c r="A21" s="185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31" x14ac:dyDescent="0.2">
      <c r="A22" s="183" t="s">
        <v>145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31" x14ac:dyDescent="0.2">
      <c r="A23" s="86" t="s">
        <v>169</v>
      </c>
      <c r="B23" s="51">
        <v>4</v>
      </c>
      <c r="C23" s="51">
        <v>2</v>
      </c>
      <c r="D23" s="51">
        <v>3</v>
      </c>
      <c r="E23" s="51">
        <v>1</v>
      </c>
      <c r="F23" s="51">
        <v>1</v>
      </c>
      <c r="G23" s="51">
        <v>186</v>
      </c>
      <c r="H23" s="51">
        <v>2</v>
      </c>
      <c r="I23" s="51">
        <v>551</v>
      </c>
      <c r="J23" s="51">
        <v>0</v>
      </c>
      <c r="K23" s="51">
        <v>0</v>
      </c>
      <c r="L23" s="51">
        <v>0</v>
      </c>
      <c r="M23" s="51">
        <v>0</v>
      </c>
      <c r="N23" s="51">
        <v>261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/>
      <c r="W23" s="51"/>
      <c r="X23" s="51"/>
      <c r="Y23" s="51"/>
      <c r="Z23" s="51"/>
    </row>
    <row r="24" spans="1:31" x14ac:dyDescent="0.2">
      <c r="A24" s="86" t="s">
        <v>170</v>
      </c>
      <c r="B24" s="51">
        <v>6819</v>
      </c>
      <c r="C24" s="51">
        <v>1299</v>
      </c>
      <c r="D24" s="51">
        <v>1347</v>
      </c>
      <c r="E24" s="51">
        <v>13683</v>
      </c>
      <c r="F24" s="51">
        <v>13683</v>
      </c>
      <c r="G24" s="51">
        <v>1210</v>
      </c>
      <c r="H24" s="51">
        <v>1254</v>
      </c>
      <c r="I24" s="51">
        <v>1282</v>
      </c>
      <c r="J24" s="51">
        <v>1466</v>
      </c>
      <c r="K24" s="51">
        <v>1466</v>
      </c>
      <c r="L24" s="51">
        <v>1251</v>
      </c>
      <c r="M24" s="51">
        <v>6289</v>
      </c>
      <c r="N24" s="51">
        <v>6352</v>
      </c>
      <c r="O24" s="51">
        <v>6478</v>
      </c>
      <c r="P24" s="51">
        <v>6478</v>
      </c>
      <c r="Q24" s="51">
        <v>10164</v>
      </c>
      <c r="R24" s="51">
        <v>5452</v>
      </c>
      <c r="S24" s="51">
        <v>5520</v>
      </c>
      <c r="T24" s="51">
        <v>13113</v>
      </c>
      <c r="U24" s="51">
        <v>13113</v>
      </c>
      <c r="V24" s="51">
        <v>13113</v>
      </c>
      <c r="W24" s="51">
        <v>13113</v>
      </c>
      <c r="X24" s="51">
        <v>13113</v>
      </c>
      <c r="Y24" s="51">
        <v>13113</v>
      </c>
      <c r="Z24" s="51">
        <v>13113</v>
      </c>
      <c r="AA24">
        <v>13113</v>
      </c>
      <c r="AB24">
        <v>13113</v>
      </c>
      <c r="AC24">
        <v>13113</v>
      </c>
      <c r="AD24">
        <v>13113</v>
      </c>
      <c r="AE24">
        <v>13113</v>
      </c>
    </row>
    <row r="25" spans="1:31" x14ac:dyDescent="0.2">
      <c r="A25" s="86" t="s">
        <v>171</v>
      </c>
      <c r="B25" s="51">
        <v>6800</v>
      </c>
      <c r="C25" s="51">
        <v>7616</v>
      </c>
      <c r="D25" s="51">
        <v>8877</v>
      </c>
      <c r="E25" s="51">
        <v>8870</v>
      </c>
      <c r="F25" s="51">
        <v>8870</v>
      </c>
      <c r="G25" s="51">
        <v>6679</v>
      </c>
      <c r="H25" s="51">
        <v>14654</v>
      </c>
      <c r="I25" s="51">
        <v>8310</v>
      </c>
      <c r="J25" s="51">
        <v>15587</v>
      </c>
      <c r="K25" s="51">
        <v>15587</v>
      </c>
      <c r="L25" s="51">
        <v>10050</v>
      </c>
      <c r="M25" s="51">
        <v>17788</v>
      </c>
      <c r="N25" s="51">
        <v>20106</v>
      </c>
      <c r="O25" s="51">
        <v>25606</v>
      </c>
      <c r="P25" s="51">
        <v>25606</v>
      </c>
      <c r="Q25" s="51">
        <v>13006</v>
      </c>
      <c r="R25" s="51">
        <v>29759</v>
      </c>
      <c r="S25" s="51">
        <v>24079</v>
      </c>
      <c r="T25" s="51">
        <v>28846</v>
      </c>
      <c r="U25" s="51">
        <v>28846</v>
      </c>
      <c r="V25" s="51">
        <v>44405.861643835618</v>
      </c>
      <c r="W25" s="51">
        <v>46437.520356164379</v>
      </c>
      <c r="X25" s="51">
        <v>48061.826821917814</v>
      </c>
      <c r="Y25" s="51">
        <v>49917.995342465758</v>
      </c>
      <c r="Z25" s="51">
        <v>49917.995342465758</v>
      </c>
      <c r="AA25">
        <v>56979.413141095894</v>
      </c>
      <c r="AB25">
        <v>59300.301123978083</v>
      </c>
      <c r="AC25">
        <v>61646.035043911375</v>
      </c>
      <c r="AD25">
        <v>64725.338961019334</v>
      </c>
      <c r="AE25">
        <v>68026.627775176021</v>
      </c>
    </row>
    <row r="26" spans="1:31" x14ac:dyDescent="0.2">
      <c r="A26" s="86" t="s">
        <v>172</v>
      </c>
      <c r="B26" s="51">
        <v>2905</v>
      </c>
      <c r="C26" s="51">
        <v>2902</v>
      </c>
      <c r="D26" s="51">
        <v>5994</v>
      </c>
      <c r="E26" s="51">
        <v>3658</v>
      </c>
      <c r="F26" s="51">
        <v>3658</v>
      </c>
      <c r="G26" s="51">
        <v>4606</v>
      </c>
      <c r="H26" s="51">
        <v>3943</v>
      </c>
      <c r="I26" s="51">
        <v>7397</v>
      </c>
      <c r="J26" s="51">
        <v>7091</v>
      </c>
      <c r="K26" s="51">
        <v>7091</v>
      </c>
      <c r="L26" s="51">
        <v>6062</v>
      </c>
      <c r="M26" s="51">
        <v>9617</v>
      </c>
      <c r="N26" s="51">
        <v>12297</v>
      </c>
      <c r="O26" s="51">
        <v>7116</v>
      </c>
      <c r="P26" s="51">
        <v>7116</v>
      </c>
      <c r="Q26" s="51">
        <v>5964</v>
      </c>
      <c r="R26" s="51">
        <v>5906</v>
      </c>
      <c r="S26" s="51">
        <v>14651</v>
      </c>
      <c r="T26" s="51">
        <v>9716</v>
      </c>
      <c r="U26" s="51">
        <v>9716</v>
      </c>
      <c r="V26" s="51">
        <v>9716</v>
      </c>
      <c r="W26" s="51">
        <v>9716</v>
      </c>
      <c r="X26" s="51">
        <v>9716</v>
      </c>
      <c r="Y26" s="51">
        <v>9716</v>
      </c>
      <c r="Z26" s="51">
        <v>9716</v>
      </c>
      <c r="AA26">
        <v>9716</v>
      </c>
      <c r="AB26">
        <v>9716</v>
      </c>
      <c r="AC26">
        <v>9716</v>
      </c>
      <c r="AD26">
        <v>9716</v>
      </c>
      <c r="AE26">
        <v>9716</v>
      </c>
    </row>
    <row r="27" spans="1:31" x14ac:dyDescent="0.2">
      <c r="A27" s="86" t="s">
        <v>173</v>
      </c>
      <c r="B27" s="51">
        <v>16108</v>
      </c>
      <c r="C27" s="51">
        <v>13797</v>
      </c>
      <c r="D27" s="51">
        <v>17629</v>
      </c>
      <c r="E27" s="51">
        <v>19600</v>
      </c>
      <c r="F27" s="51">
        <v>19600</v>
      </c>
      <c r="G27" s="51">
        <v>21831</v>
      </c>
      <c r="H27" s="51">
        <v>19631</v>
      </c>
      <c r="I27" s="51">
        <v>21389</v>
      </c>
      <c r="J27" s="51">
        <v>23606</v>
      </c>
      <c r="K27" s="51">
        <v>23606</v>
      </c>
      <c r="L27" s="51">
        <v>24360</v>
      </c>
      <c r="M27" s="51">
        <v>22527</v>
      </c>
      <c r="N27" s="51">
        <v>26171</v>
      </c>
      <c r="O27" s="51">
        <v>28705</v>
      </c>
      <c r="P27" s="51">
        <v>28705</v>
      </c>
      <c r="Q27" s="51">
        <v>31425</v>
      </c>
      <c r="R27" s="51">
        <v>29937</v>
      </c>
      <c r="S27" s="51">
        <v>30637</v>
      </c>
      <c r="T27" s="51">
        <v>37993</v>
      </c>
      <c r="U27" s="51">
        <v>37993</v>
      </c>
      <c r="V27" s="51">
        <v>37993</v>
      </c>
      <c r="W27" s="51">
        <v>37993</v>
      </c>
      <c r="X27" s="51">
        <v>37993</v>
      </c>
      <c r="Y27" s="51">
        <v>37993</v>
      </c>
      <c r="Z27" s="51">
        <v>37993</v>
      </c>
      <c r="AA27">
        <v>37993</v>
      </c>
      <c r="AB27">
        <v>37993</v>
      </c>
      <c r="AC27">
        <v>37993</v>
      </c>
      <c r="AD27">
        <v>37993</v>
      </c>
      <c r="AE27">
        <v>37993</v>
      </c>
    </row>
    <row r="28" spans="1:31" x14ac:dyDescent="0.2">
      <c r="A28" s="86" t="s">
        <v>158</v>
      </c>
      <c r="B28" s="51">
        <v>1235</v>
      </c>
      <c r="C28" s="51">
        <v>794</v>
      </c>
      <c r="D28" s="51">
        <v>1610</v>
      </c>
      <c r="E28" s="51">
        <v>2184</v>
      </c>
      <c r="F28" s="51">
        <v>2184</v>
      </c>
      <c r="G28" s="51">
        <v>2286</v>
      </c>
      <c r="H28" s="51">
        <v>4383</v>
      </c>
      <c r="I28" s="51">
        <v>6583</v>
      </c>
      <c r="J28" s="51">
        <v>2903</v>
      </c>
      <c r="K28" s="51">
        <v>2903</v>
      </c>
      <c r="L28" s="51">
        <v>2282</v>
      </c>
      <c r="M28" s="51">
        <v>1539</v>
      </c>
      <c r="N28" s="51">
        <v>2522</v>
      </c>
      <c r="O28" s="51">
        <v>1272</v>
      </c>
      <c r="P28" s="51">
        <v>1272</v>
      </c>
      <c r="Q28" s="51">
        <v>2110</v>
      </c>
      <c r="R28" s="51">
        <v>2363</v>
      </c>
      <c r="S28" s="51">
        <v>4481</v>
      </c>
      <c r="T28" s="51">
        <v>7531</v>
      </c>
      <c r="U28" s="51">
        <v>7531</v>
      </c>
      <c r="V28" s="51">
        <v>7531</v>
      </c>
      <c r="W28" s="51">
        <v>7531</v>
      </c>
      <c r="X28" s="51">
        <v>7531</v>
      </c>
      <c r="Y28" s="51">
        <v>7531</v>
      </c>
      <c r="Z28" s="51">
        <v>7531</v>
      </c>
      <c r="AA28">
        <v>7531</v>
      </c>
      <c r="AB28">
        <v>7531</v>
      </c>
      <c r="AC28">
        <v>7531</v>
      </c>
      <c r="AD28">
        <v>7531</v>
      </c>
      <c r="AE28">
        <v>7531</v>
      </c>
    </row>
    <row r="29" spans="1:31" x14ac:dyDescent="0.2">
      <c r="A29" s="86" t="s">
        <v>174</v>
      </c>
      <c r="B29" s="51">
        <v>38513</v>
      </c>
      <c r="C29" s="51">
        <v>46388</v>
      </c>
      <c r="D29" s="51">
        <v>52868</v>
      </c>
      <c r="E29" s="51">
        <v>51520</v>
      </c>
      <c r="F29" s="51">
        <v>51520</v>
      </c>
      <c r="G29" s="51">
        <v>58804</v>
      </c>
      <c r="H29" s="51">
        <v>65788</v>
      </c>
      <c r="I29" s="51">
        <v>84745</v>
      </c>
      <c r="J29" s="51">
        <v>70287</v>
      </c>
      <c r="K29" s="51">
        <v>70287</v>
      </c>
      <c r="L29" s="51">
        <v>87956</v>
      </c>
      <c r="M29" s="51">
        <v>98858</v>
      </c>
      <c r="N29" s="51">
        <v>104843</v>
      </c>
      <c r="O29" s="51">
        <v>100478</v>
      </c>
      <c r="P29" s="51">
        <v>100478</v>
      </c>
      <c r="Q29" s="51">
        <v>102937</v>
      </c>
      <c r="R29" s="51">
        <v>114492</v>
      </c>
      <c r="S29" s="51">
        <v>128990</v>
      </c>
      <c r="T29" s="51">
        <v>120329</v>
      </c>
      <c r="U29" s="51">
        <v>120329</v>
      </c>
      <c r="V29" s="51">
        <v>120329</v>
      </c>
      <c r="W29" s="51">
        <v>120329</v>
      </c>
      <c r="X29" s="51">
        <v>120329</v>
      </c>
      <c r="Y29" s="51">
        <v>120329</v>
      </c>
      <c r="Z29" s="51">
        <v>120329</v>
      </c>
      <c r="AA29">
        <v>120329</v>
      </c>
      <c r="AB29">
        <v>120329</v>
      </c>
      <c r="AC29">
        <v>120329</v>
      </c>
      <c r="AD29">
        <v>120329</v>
      </c>
      <c r="AE29">
        <v>120329</v>
      </c>
    </row>
    <row r="30" spans="1:31" x14ac:dyDescent="0.2">
      <c r="A30" s="184" t="s">
        <v>175</v>
      </c>
      <c r="B30" s="51">
        <v>72384</v>
      </c>
      <c r="C30" s="51">
        <v>72798</v>
      </c>
      <c r="D30" s="51">
        <v>88328</v>
      </c>
      <c r="E30" s="51">
        <v>99516</v>
      </c>
      <c r="F30" s="51">
        <v>99516</v>
      </c>
      <c r="G30" s="51">
        <v>95602</v>
      </c>
      <c r="H30" s="51">
        <v>109655</v>
      </c>
      <c r="I30" s="51">
        <v>130257</v>
      </c>
      <c r="J30" s="51">
        <v>120940</v>
      </c>
      <c r="K30" s="51">
        <v>120940</v>
      </c>
      <c r="L30" s="51">
        <v>131961</v>
      </c>
      <c r="M30" s="51">
        <v>156618</v>
      </c>
      <c r="N30" s="51">
        <v>172552</v>
      </c>
      <c r="O30" s="51">
        <v>169655</v>
      </c>
      <c r="P30" s="51">
        <v>169655</v>
      </c>
      <c r="Q30" s="51">
        <v>165606</v>
      </c>
      <c r="R30" s="51">
        <v>187909</v>
      </c>
      <c r="S30" s="51">
        <v>208358</v>
      </c>
      <c r="T30" s="51">
        <v>217528</v>
      </c>
      <c r="U30" s="51">
        <v>217528</v>
      </c>
      <c r="V30" s="51">
        <v>233087.86164383561</v>
      </c>
      <c r="W30" s="51">
        <v>235119.52035616437</v>
      </c>
      <c r="X30" s="51">
        <v>236743.82682191781</v>
      </c>
      <c r="Y30" s="51">
        <v>238599.99534246576</v>
      </c>
      <c r="Z30" s="51">
        <v>238599.99534246576</v>
      </c>
      <c r="AA30">
        <v>245661.41314109589</v>
      </c>
      <c r="AB30">
        <v>247982.30112397808</v>
      </c>
      <c r="AC30">
        <v>250328.03504391137</v>
      </c>
      <c r="AD30">
        <v>253407.33896101933</v>
      </c>
      <c r="AE30">
        <v>256708.62777517602</v>
      </c>
    </row>
    <row r="31" spans="1:31" x14ac:dyDescent="0.2">
      <c r="A31" s="185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31" x14ac:dyDescent="0.2">
      <c r="A32" s="186" t="s">
        <v>176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31" x14ac:dyDescent="0.2">
      <c r="A33" s="86" t="s">
        <v>177</v>
      </c>
      <c r="B33" s="51">
        <v>2832</v>
      </c>
      <c r="C33" s="51">
        <v>12463</v>
      </c>
      <c r="D33" s="51">
        <v>12398</v>
      </c>
      <c r="E33" s="51">
        <v>12961</v>
      </c>
      <c r="F33" s="51">
        <v>12961</v>
      </c>
      <c r="G33" s="51">
        <v>24084</v>
      </c>
      <c r="H33" s="51">
        <v>24178</v>
      </c>
      <c r="I33" s="51">
        <v>24136</v>
      </c>
      <c r="J33" s="51">
        <v>24318</v>
      </c>
      <c r="K33" s="51">
        <v>24318</v>
      </c>
      <c r="L33" s="51">
        <v>24267</v>
      </c>
      <c r="M33" s="51">
        <v>19415</v>
      </c>
      <c r="N33" s="51">
        <v>19924</v>
      </c>
      <c r="O33" s="51">
        <v>20528</v>
      </c>
      <c r="P33" s="51">
        <v>20528</v>
      </c>
      <c r="Q33" s="51">
        <v>16764</v>
      </c>
      <c r="R33" s="51">
        <v>51608</v>
      </c>
      <c r="S33" s="51">
        <v>51452</v>
      </c>
      <c r="T33" s="51">
        <v>89674</v>
      </c>
      <c r="U33" s="51">
        <v>89674</v>
      </c>
      <c r="V33" s="51">
        <v>89674</v>
      </c>
      <c r="W33" s="51">
        <v>89674</v>
      </c>
      <c r="X33" s="51">
        <v>89674</v>
      </c>
      <c r="Y33" s="51">
        <v>89674</v>
      </c>
      <c r="Z33" s="51">
        <v>89674</v>
      </c>
      <c r="AA33">
        <v>89674</v>
      </c>
      <c r="AB33">
        <v>89674</v>
      </c>
      <c r="AC33">
        <v>89674</v>
      </c>
      <c r="AD33">
        <v>89674</v>
      </c>
      <c r="AE33">
        <v>89674</v>
      </c>
    </row>
    <row r="34" spans="1:31" x14ac:dyDescent="0.2">
      <c r="A34" s="86" t="s">
        <v>178</v>
      </c>
      <c r="B34" s="51">
        <v>1963</v>
      </c>
      <c r="C34" s="51">
        <v>1818</v>
      </c>
      <c r="D34" s="51">
        <v>1643</v>
      </c>
      <c r="E34" s="51">
        <v>5271</v>
      </c>
      <c r="F34" s="51">
        <v>5271</v>
      </c>
      <c r="G34" s="51">
        <v>5305</v>
      </c>
      <c r="H34" s="51">
        <v>5217</v>
      </c>
      <c r="I34" s="51">
        <v>5640</v>
      </c>
      <c r="J34" s="51">
        <v>7061</v>
      </c>
      <c r="K34" s="51">
        <v>7061</v>
      </c>
      <c r="L34" s="51">
        <v>7875</v>
      </c>
      <c r="M34" s="51">
        <v>7627</v>
      </c>
      <c r="N34" s="51">
        <v>7885</v>
      </c>
      <c r="O34" s="51">
        <v>10162</v>
      </c>
      <c r="P34" s="51">
        <v>10162</v>
      </c>
      <c r="Q34" s="51">
        <v>9664</v>
      </c>
      <c r="R34" s="51">
        <v>9037</v>
      </c>
      <c r="S34" s="51">
        <v>8655</v>
      </c>
      <c r="T34" s="51">
        <v>5426</v>
      </c>
      <c r="U34" s="51">
        <v>5426</v>
      </c>
      <c r="V34" s="51">
        <v>5426</v>
      </c>
      <c r="W34" s="51">
        <v>5426</v>
      </c>
      <c r="X34" s="51">
        <v>5426</v>
      </c>
      <c r="Y34" s="51">
        <v>5426</v>
      </c>
      <c r="Z34" s="51">
        <v>5426</v>
      </c>
      <c r="AA34">
        <v>5426</v>
      </c>
      <c r="AB34">
        <v>5426</v>
      </c>
      <c r="AC34">
        <v>5426</v>
      </c>
      <c r="AD34">
        <v>5426</v>
      </c>
      <c r="AE34">
        <v>5426</v>
      </c>
    </row>
    <row r="35" spans="1:31" x14ac:dyDescent="0.2">
      <c r="A35" s="86" t="s">
        <v>179</v>
      </c>
      <c r="B35" s="51">
        <v>1204</v>
      </c>
      <c r="C35" s="51">
        <v>1216</v>
      </c>
      <c r="D35" s="51">
        <v>1306</v>
      </c>
      <c r="E35" s="51">
        <v>1280</v>
      </c>
      <c r="F35" s="51">
        <v>1280</v>
      </c>
      <c r="G35" s="51">
        <v>950</v>
      </c>
      <c r="H35" s="51">
        <v>617</v>
      </c>
      <c r="I35" s="51">
        <v>583</v>
      </c>
      <c r="J35" s="51">
        <v>762</v>
      </c>
      <c r="K35" s="51">
        <v>762</v>
      </c>
      <c r="L35" s="51">
        <v>682</v>
      </c>
      <c r="M35" s="51">
        <v>699</v>
      </c>
      <c r="N35" s="51">
        <v>613</v>
      </c>
      <c r="O35" s="51">
        <v>742</v>
      </c>
      <c r="P35" s="51">
        <v>742</v>
      </c>
      <c r="Q35" s="51">
        <v>784</v>
      </c>
      <c r="R35" s="51">
        <v>763</v>
      </c>
      <c r="S35" s="51">
        <v>793</v>
      </c>
      <c r="T35" s="51">
        <v>903</v>
      </c>
      <c r="U35" s="51">
        <v>903</v>
      </c>
      <c r="V35" s="51">
        <v>903</v>
      </c>
      <c r="W35" s="51">
        <v>903</v>
      </c>
      <c r="X35" s="51">
        <v>903</v>
      </c>
      <c r="Y35" s="51">
        <v>903</v>
      </c>
      <c r="Z35" s="51">
        <v>903</v>
      </c>
      <c r="AA35">
        <v>903</v>
      </c>
      <c r="AB35">
        <v>903</v>
      </c>
      <c r="AC35">
        <v>903</v>
      </c>
      <c r="AD35">
        <v>903</v>
      </c>
      <c r="AE35">
        <v>903</v>
      </c>
    </row>
    <row r="36" spans="1:31" x14ac:dyDescent="0.2">
      <c r="A36" s="86" t="s">
        <v>180</v>
      </c>
      <c r="B36" s="51"/>
      <c r="C36" s="51"/>
      <c r="D36" s="51"/>
      <c r="E36" s="51">
        <v>360</v>
      </c>
      <c r="F36" s="51">
        <v>360</v>
      </c>
      <c r="G36" s="51">
        <v>257</v>
      </c>
      <c r="H36" s="51">
        <v>167</v>
      </c>
      <c r="I36" s="51">
        <v>240</v>
      </c>
      <c r="J36" s="51">
        <v>100</v>
      </c>
      <c r="K36" s="51">
        <v>100</v>
      </c>
      <c r="L36" s="51">
        <v>322</v>
      </c>
      <c r="M36" s="51">
        <v>193</v>
      </c>
      <c r="N36" s="51">
        <v>199</v>
      </c>
      <c r="O36" s="51">
        <v>189</v>
      </c>
      <c r="P36" s="51">
        <v>189</v>
      </c>
      <c r="Q36" s="51">
        <v>15</v>
      </c>
      <c r="R36" s="51">
        <v>16</v>
      </c>
      <c r="S36" s="51">
        <v>16</v>
      </c>
      <c r="T36" s="51">
        <v>23</v>
      </c>
      <c r="U36" s="51">
        <v>23</v>
      </c>
      <c r="V36" s="51">
        <v>23</v>
      </c>
      <c r="W36" s="51">
        <v>23</v>
      </c>
      <c r="X36" s="51">
        <v>23</v>
      </c>
      <c r="Y36" s="51">
        <v>23</v>
      </c>
      <c r="Z36" s="51">
        <v>23</v>
      </c>
      <c r="AA36">
        <v>23</v>
      </c>
      <c r="AB36">
        <v>23</v>
      </c>
      <c r="AC36">
        <v>23</v>
      </c>
      <c r="AD36">
        <v>23</v>
      </c>
      <c r="AE36">
        <v>23</v>
      </c>
    </row>
    <row r="37" spans="1:31" x14ac:dyDescent="0.2">
      <c r="A37" s="86" t="s">
        <v>174</v>
      </c>
      <c r="B37" s="51">
        <v>4508</v>
      </c>
      <c r="C37" s="51">
        <v>4241</v>
      </c>
      <c r="D37" s="51">
        <v>4297</v>
      </c>
      <c r="E37" s="51">
        <v>4374</v>
      </c>
      <c r="F37" s="51">
        <v>4374</v>
      </c>
      <c r="G37" s="51">
        <v>4388</v>
      </c>
      <c r="H37" s="51">
        <v>4642</v>
      </c>
      <c r="I37" s="51">
        <v>5300</v>
      </c>
      <c r="J37" s="51">
        <v>4590</v>
      </c>
      <c r="K37" s="51">
        <v>4590</v>
      </c>
      <c r="L37" s="51">
        <v>5044</v>
      </c>
      <c r="M37" s="51">
        <v>5728</v>
      </c>
      <c r="N37" s="51">
        <v>5937</v>
      </c>
      <c r="O37" s="51">
        <v>6649</v>
      </c>
      <c r="P37" s="51">
        <v>6649</v>
      </c>
      <c r="Q37" s="51">
        <v>7177</v>
      </c>
      <c r="R37" s="51">
        <v>7528</v>
      </c>
      <c r="S37" s="51">
        <v>7645</v>
      </c>
      <c r="T37" s="51">
        <v>8755</v>
      </c>
      <c r="U37" s="51">
        <v>8755</v>
      </c>
      <c r="V37" s="51">
        <v>8755</v>
      </c>
      <c r="W37" s="51">
        <v>8755</v>
      </c>
      <c r="X37" s="51">
        <v>8755</v>
      </c>
      <c r="Y37" s="51">
        <v>8755</v>
      </c>
      <c r="Z37" s="51">
        <v>8755</v>
      </c>
      <c r="AA37">
        <v>8755</v>
      </c>
      <c r="AB37">
        <v>8755</v>
      </c>
      <c r="AC37">
        <v>8755</v>
      </c>
      <c r="AD37">
        <v>8755</v>
      </c>
      <c r="AE37">
        <v>8755</v>
      </c>
    </row>
    <row r="38" spans="1:31" x14ac:dyDescent="0.2">
      <c r="A38" s="184" t="s">
        <v>181</v>
      </c>
      <c r="B38" s="51">
        <v>10507</v>
      </c>
      <c r="C38" s="51">
        <v>19738</v>
      </c>
      <c r="D38" s="51">
        <v>19644</v>
      </c>
      <c r="E38" s="51">
        <v>24246</v>
      </c>
      <c r="F38" s="51">
        <v>24246</v>
      </c>
      <c r="G38" s="51">
        <v>34984</v>
      </c>
      <c r="H38" s="51">
        <v>34821</v>
      </c>
      <c r="I38" s="51">
        <v>35899</v>
      </c>
      <c r="J38" s="51">
        <v>36831</v>
      </c>
      <c r="K38" s="51">
        <v>36831</v>
      </c>
      <c r="L38" s="51">
        <v>38190</v>
      </c>
      <c r="M38" s="51">
        <v>33662</v>
      </c>
      <c r="N38" s="51">
        <v>34558</v>
      </c>
      <c r="O38" s="51">
        <v>38270</v>
      </c>
      <c r="P38" s="51">
        <v>38270</v>
      </c>
      <c r="Q38" s="51">
        <v>34404</v>
      </c>
      <c r="R38" s="51">
        <v>68952</v>
      </c>
      <c r="S38" s="51">
        <v>68561</v>
      </c>
      <c r="T38" s="51">
        <v>104781</v>
      </c>
      <c r="U38" s="51">
        <v>104781</v>
      </c>
      <c r="V38" s="51">
        <v>104781</v>
      </c>
      <c r="W38" s="51">
        <v>104781</v>
      </c>
      <c r="X38" s="51">
        <v>104781</v>
      </c>
      <c r="Y38" s="51">
        <v>104781</v>
      </c>
      <c r="Z38" s="51">
        <v>104781</v>
      </c>
      <c r="AA38">
        <v>104781</v>
      </c>
      <c r="AB38">
        <v>104781</v>
      </c>
      <c r="AC38">
        <v>104781</v>
      </c>
      <c r="AD38">
        <v>104781</v>
      </c>
      <c r="AE38">
        <v>104781</v>
      </c>
    </row>
    <row r="39" spans="1:31" x14ac:dyDescent="0.2">
      <c r="A39" s="183" t="s">
        <v>182</v>
      </c>
      <c r="B39" s="51">
        <v>82891</v>
      </c>
      <c r="C39" s="51">
        <v>92536</v>
      </c>
      <c r="D39" s="51">
        <v>107972</v>
      </c>
      <c r="E39" s="51">
        <v>123762</v>
      </c>
      <c r="F39" s="51">
        <v>123762</v>
      </c>
      <c r="G39" s="51">
        <v>130586</v>
      </c>
      <c r="H39" s="51">
        <v>144476</v>
      </c>
      <c r="I39" s="51">
        <v>166156</v>
      </c>
      <c r="J39" s="51">
        <v>157771</v>
      </c>
      <c r="K39" s="51">
        <v>157771</v>
      </c>
      <c r="L39" s="51">
        <v>170151</v>
      </c>
      <c r="M39" s="51">
        <v>190280</v>
      </c>
      <c r="N39" s="51">
        <v>207110</v>
      </c>
      <c r="O39" s="51">
        <v>207925</v>
      </c>
      <c r="P39" s="51">
        <v>207925</v>
      </c>
      <c r="Q39" s="51">
        <v>200010</v>
      </c>
      <c r="R39" s="51">
        <v>256861</v>
      </c>
      <c r="S39" s="51">
        <v>276919</v>
      </c>
      <c r="T39" s="51">
        <v>322309</v>
      </c>
      <c r="U39" s="51">
        <v>322309</v>
      </c>
      <c r="V39" s="51">
        <v>337868.86164383561</v>
      </c>
      <c r="W39" s="51">
        <v>339900.52035616437</v>
      </c>
      <c r="X39" s="51">
        <v>341524.82682191778</v>
      </c>
      <c r="Y39" s="51">
        <v>343380.99534246576</v>
      </c>
      <c r="Z39" s="51">
        <v>343380.99534246576</v>
      </c>
      <c r="AA39">
        <v>350442.41314109589</v>
      </c>
      <c r="AB39">
        <v>352763.3011239781</v>
      </c>
      <c r="AC39">
        <v>355109.03504391137</v>
      </c>
      <c r="AD39">
        <v>358188.3389610193</v>
      </c>
      <c r="AE39">
        <v>361489.62777517602</v>
      </c>
    </row>
    <row r="40" spans="1:31" x14ac:dyDescent="0.2">
      <c r="A40" s="18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31" x14ac:dyDescent="0.2">
      <c r="A41" s="186" t="s">
        <v>183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31" x14ac:dyDescent="0.2">
      <c r="A42" s="187" t="s">
        <v>184</v>
      </c>
      <c r="B42" s="51">
        <v>470</v>
      </c>
      <c r="C42" s="51">
        <v>462</v>
      </c>
      <c r="D42" s="51">
        <v>462</v>
      </c>
      <c r="E42" s="51">
        <v>462</v>
      </c>
      <c r="F42" s="51">
        <v>462</v>
      </c>
      <c r="G42" s="51">
        <v>462</v>
      </c>
      <c r="H42" s="51">
        <v>456</v>
      </c>
      <c r="I42" s="51">
        <v>456</v>
      </c>
      <c r="J42" s="51">
        <v>456</v>
      </c>
      <c r="K42" s="51">
        <v>456</v>
      </c>
      <c r="L42" s="51">
        <v>456</v>
      </c>
      <c r="M42" s="51">
        <v>451</v>
      </c>
      <c r="N42" s="51">
        <v>451</v>
      </c>
      <c r="O42" s="51">
        <v>451</v>
      </c>
      <c r="P42" s="51">
        <v>451</v>
      </c>
      <c r="Q42" s="51">
        <v>451</v>
      </c>
      <c r="R42" s="51">
        <v>446</v>
      </c>
      <c r="S42" s="51">
        <v>446</v>
      </c>
      <c r="T42" s="51">
        <v>446</v>
      </c>
      <c r="U42" s="51">
        <v>446</v>
      </c>
      <c r="V42" s="51">
        <v>446</v>
      </c>
      <c r="W42" s="51">
        <v>446</v>
      </c>
      <c r="X42" s="51">
        <v>446</v>
      </c>
      <c r="Y42" s="51">
        <v>446</v>
      </c>
      <c r="Z42" s="51">
        <v>446</v>
      </c>
      <c r="AA42">
        <v>446</v>
      </c>
      <c r="AB42">
        <v>446</v>
      </c>
      <c r="AC42">
        <v>446</v>
      </c>
      <c r="AD42">
        <v>446</v>
      </c>
      <c r="AE42">
        <v>446</v>
      </c>
    </row>
    <row r="43" spans="1:31" x14ac:dyDescent="0.2">
      <c r="A43" s="187" t="s">
        <v>185</v>
      </c>
      <c r="B43" s="51">
        <v>-9</v>
      </c>
      <c r="C43" s="51">
        <v>-3</v>
      </c>
      <c r="D43" s="51">
        <v>-4</v>
      </c>
      <c r="E43" s="51">
        <v>-6</v>
      </c>
      <c r="F43" s="51">
        <v>-6</v>
      </c>
      <c r="G43" s="51">
        <v>-7</v>
      </c>
      <c r="H43" s="51">
        <v>-3</v>
      </c>
      <c r="I43" s="51">
        <v>-4</v>
      </c>
      <c r="J43" s="51">
        <v>-6</v>
      </c>
      <c r="K43" s="51">
        <v>-6</v>
      </c>
      <c r="L43" s="51">
        <v>-6</v>
      </c>
      <c r="M43" s="51">
        <v>-3</v>
      </c>
      <c r="N43" s="51">
        <v>-5</v>
      </c>
      <c r="O43" s="51">
        <v>-5</v>
      </c>
      <c r="P43" s="51">
        <v>-5</v>
      </c>
      <c r="Q43" s="51">
        <v>-5</v>
      </c>
      <c r="R43" s="51">
        <v>-1</v>
      </c>
      <c r="S43" s="51">
        <v>-1</v>
      </c>
      <c r="T43" s="51">
        <v>-2</v>
      </c>
      <c r="U43" s="51">
        <v>-2</v>
      </c>
      <c r="V43" s="51">
        <v>-2</v>
      </c>
      <c r="W43" s="51">
        <v>-2</v>
      </c>
      <c r="X43" s="51">
        <v>-2</v>
      </c>
      <c r="Y43" s="51">
        <v>-2</v>
      </c>
      <c r="Z43" s="51">
        <v>-2</v>
      </c>
      <c r="AA43">
        <v>-2</v>
      </c>
      <c r="AB43">
        <v>-2</v>
      </c>
      <c r="AC43">
        <v>-2</v>
      </c>
      <c r="AD43">
        <v>-2</v>
      </c>
      <c r="AE43">
        <v>-2</v>
      </c>
    </row>
    <row r="44" spans="1:31" x14ac:dyDescent="0.2">
      <c r="A44" s="187" t="s">
        <v>186</v>
      </c>
      <c r="B44" s="51">
        <v>60297</v>
      </c>
      <c r="C44" s="51">
        <v>67179</v>
      </c>
      <c r="D44" s="51">
        <v>67914</v>
      </c>
      <c r="E44" s="51">
        <v>72004</v>
      </c>
      <c r="F44" s="51">
        <v>72004</v>
      </c>
      <c r="G44" s="51">
        <v>66612</v>
      </c>
      <c r="H44" s="51">
        <v>73166</v>
      </c>
      <c r="I44" s="51">
        <v>73673</v>
      </c>
      <c r="J44" s="51">
        <v>80587</v>
      </c>
      <c r="K44" s="51">
        <v>80587</v>
      </c>
      <c r="L44" s="51">
        <v>77070</v>
      </c>
      <c r="M44" s="51">
        <v>88118</v>
      </c>
      <c r="N44" s="51">
        <v>91735</v>
      </c>
      <c r="O44" s="51">
        <v>104839</v>
      </c>
      <c r="P44" s="51">
        <v>104839</v>
      </c>
      <c r="Q44" s="51">
        <v>99050</v>
      </c>
      <c r="R44" s="51">
        <v>112150</v>
      </c>
      <c r="S44" s="51">
        <v>121670</v>
      </c>
      <c r="T44" s="51">
        <v>144448</v>
      </c>
      <c r="U44" s="51">
        <v>144448</v>
      </c>
      <c r="V44" s="51">
        <v>143008.00687134793</v>
      </c>
      <c r="W44" s="51">
        <v>171860.35356693945</v>
      </c>
      <c r="X44" s="51">
        <v>188856.45144418289</v>
      </c>
      <c r="Y44" s="51">
        <v>223906.01030621119</v>
      </c>
      <c r="Z44" s="51">
        <v>223906.01030621119</v>
      </c>
      <c r="AA44">
        <v>328867.76764522149</v>
      </c>
      <c r="AB44">
        <v>440092.21357171854</v>
      </c>
      <c r="AC44">
        <v>559766.36548075103</v>
      </c>
      <c r="AD44">
        <v>689135.82664025552</v>
      </c>
      <c r="AE44">
        <v>829453.14466376009</v>
      </c>
    </row>
    <row r="45" spans="1:31" x14ac:dyDescent="0.2">
      <c r="A45" s="86" t="s">
        <v>187</v>
      </c>
      <c r="B45" s="51">
        <v>-2262</v>
      </c>
      <c r="C45" s="51">
        <v>-2079</v>
      </c>
      <c r="D45" s="51">
        <v>-2260</v>
      </c>
      <c r="E45" s="51">
        <v>-1714</v>
      </c>
      <c r="F45" s="51">
        <v>-1714</v>
      </c>
      <c r="G45" s="51">
        <v>-517</v>
      </c>
      <c r="H45" s="51">
        <v>833</v>
      </c>
      <c r="I45" s="51">
        <v>2555</v>
      </c>
      <c r="J45" s="51">
        <v>2449</v>
      </c>
      <c r="K45" s="51">
        <v>2449</v>
      </c>
      <c r="L45" s="51">
        <v>2354</v>
      </c>
      <c r="M45" s="51">
        <v>1907</v>
      </c>
      <c r="N45" s="51">
        <v>810</v>
      </c>
      <c r="O45" s="51">
        <v>1276</v>
      </c>
      <c r="P45" s="51">
        <v>1276</v>
      </c>
      <c r="Q45" s="51">
        <v>-585</v>
      </c>
      <c r="R45" s="51">
        <v>-73</v>
      </c>
      <c r="S45" s="51">
        <v>-1593</v>
      </c>
      <c r="T45" s="51">
        <v>-1406</v>
      </c>
      <c r="U45" s="51">
        <v>-1406</v>
      </c>
      <c r="V45" s="51">
        <v>-906</v>
      </c>
      <c r="W45" s="51">
        <v>-406</v>
      </c>
      <c r="X45" s="51">
        <v>94</v>
      </c>
      <c r="Y45" s="51">
        <v>594</v>
      </c>
      <c r="Z45" s="51">
        <v>594</v>
      </c>
      <c r="AA45">
        <v>2594</v>
      </c>
      <c r="AB45">
        <v>4594</v>
      </c>
      <c r="AC45">
        <v>6594</v>
      </c>
      <c r="AD45">
        <v>8594</v>
      </c>
      <c r="AE45">
        <v>10594</v>
      </c>
    </row>
    <row r="46" spans="1:31" x14ac:dyDescent="0.2">
      <c r="A46" s="184" t="s">
        <v>188</v>
      </c>
      <c r="B46" s="51">
        <v>58496</v>
      </c>
      <c r="C46" s="51">
        <v>65559</v>
      </c>
      <c r="D46" s="51">
        <v>66112</v>
      </c>
      <c r="E46" s="51">
        <v>70746</v>
      </c>
      <c r="F46" s="51">
        <v>70746</v>
      </c>
      <c r="G46" s="51">
        <v>66550</v>
      </c>
      <c r="H46" s="51">
        <v>74452</v>
      </c>
      <c r="I46" s="51">
        <v>76680</v>
      </c>
      <c r="J46" s="51">
        <v>83486</v>
      </c>
      <c r="K46" s="51">
        <v>83486</v>
      </c>
      <c r="L46" s="51">
        <v>79874</v>
      </c>
      <c r="M46" s="51">
        <v>90473</v>
      </c>
      <c r="N46" s="51">
        <v>92991</v>
      </c>
      <c r="O46" s="51">
        <v>106561</v>
      </c>
      <c r="P46" s="51">
        <v>106561</v>
      </c>
      <c r="Q46" s="51">
        <v>98911</v>
      </c>
      <c r="R46" s="51">
        <v>112522</v>
      </c>
      <c r="S46" s="51">
        <v>120522</v>
      </c>
      <c r="T46" s="51">
        <v>143486</v>
      </c>
      <c r="U46" s="51">
        <v>143486</v>
      </c>
      <c r="V46" s="51">
        <v>142546.00687134793</v>
      </c>
      <c r="W46" s="51">
        <v>171898.35356693945</v>
      </c>
      <c r="X46" s="51">
        <v>189394.45144418289</v>
      </c>
      <c r="Y46" s="51">
        <v>224944.01030621119</v>
      </c>
      <c r="Z46" s="51">
        <v>224944.01030621119</v>
      </c>
      <c r="AA46">
        <v>331905.76764522149</v>
      </c>
      <c r="AB46">
        <v>445130.21357171854</v>
      </c>
      <c r="AC46">
        <v>566804.36548075103</v>
      </c>
      <c r="AD46">
        <v>698173.82664025552</v>
      </c>
      <c r="AE46">
        <v>840491.14466376009</v>
      </c>
    </row>
    <row r="47" spans="1:31" x14ac:dyDescent="0.2">
      <c r="A47" s="188" t="s">
        <v>189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>
        <v>0</v>
      </c>
      <c r="W47" s="51">
        <v>0</v>
      </c>
      <c r="X47" s="51">
        <v>0</v>
      </c>
      <c r="Y47" s="51">
        <v>0</v>
      </c>
      <c r="Z47" s="51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s="189" t="s">
        <v>190</v>
      </c>
      <c r="B48" s="51">
        <v>141387</v>
      </c>
      <c r="C48" s="51">
        <v>158095</v>
      </c>
      <c r="D48" s="51">
        <v>174084</v>
      </c>
      <c r="E48" s="51">
        <v>194508</v>
      </c>
      <c r="F48" s="51">
        <v>194508</v>
      </c>
      <c r="G48" s="51">
        <v>197136</v>
      </c>
      <c r="H48" s="51">
        <v>218928</v>
      </c>
      <c r="I48" s="51">
        <v>242836</v>
      </c>
      <c r="J48" s="51">
        <v>241257</v>
      </c>
      <c r="K48" s="51">
        <v>241257</v>
      </c>
      <c r="L48" s="51">
        <v>250025</v>
      </c>
      <c r="M48" s="51">
        <v>280753</v>
      </c>
      <c r="N48" s="51">
        <v>300101</v>
      </c>
      <c r="O48" s="51">
        <v>314486</v>
      </c>
      <c r="P48" s="51">
        <v>314486</v>
      </c>
      <c r="Q48" s="51">
        <v>298921</v>
      </c>
      <c r="R48" s="51">
        <v>369383</v>
      </c>
      <c r="S48" s="51">
        <v>397441</v>
      </c>
      <c r="T48" s="51">
        <v>465795</v>
      </c>
      <c r="U48" s="51">
        <v>465795</v>
      </c>
      <c r="V48" s="51">
        <v>480414.86851518357</v>
      </c>
      <c r="W48" s="51">
        <v>511798.87392310379</v>
      </c>
      <c r="X48" s="51">
        <v>530919.27826610068</v>
      </c>
      <c r="Y48" s="51">
        <v>568325.005648677</v>
      </c>
      <c r="Z48" s="51">
        <v>568325.005648677</v>
      </c>
      <c r="AA48">
        <v>682348.18078631745</v>
      </c>
      <c r="AB48">
        <v>797893.51469569665</v>
      </c>
      <c r="AC48">
        <v>921913.40052466234</v>
      </c>
      <c r="AD48">
        <v>1056362.1656012749</v>
      </c>
      <c r="AE48">
        <v>1201980.7724389362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A608-B00A-0848-9A19-E1E6A27A67A4}">
  <dimension ref="A1:AE58"/>
  <sheetViews>
    <sheetView zoomScale="63" zoomScaleNormal="88" workbookViewId="0">
      <selection activeCell="AJ17" sqref="AJ17"/>
    </sheetView>
  </sheetViews>
  <sheetFormatPr baseColWidth="10" defaultRowHeight="16" x14ac:dyDescent="0.2"/>
  <cols>
    <col min="1" max="1" width="78.5" bestFit="1" customWidth="1"/>
  </cols>
  <sheetData>
    <row r="1" spans="1:31" x14ac:dyDescent="0.2">
      <c r="A1" s="190" t="s">
        <v>221</v>
      </c>
      <c r="B1" s="51" t="s">
        <v>191</v>
      </c>
      <c r="C1" s="51" t="s">
        <v>192</v>
      </c>
      <c r="D1" s="51" t="s">
        <v>193</v>
      </c>
      <c r="E1" s="51" t="s">
        <v>194</v>
      </c>
      <c r="F1" s="51" t="s">
        <v>195</v>
      </c>
      <c r="G1" s="51" t="s">
        <v>196</v>
      </c>
      <c r="H1" s="51" t="s">
        <v>197</v>
      </c>
      <c r="I1" s="51" t="s">
        <v>198</v>
      </c>
      <c r="J1" s="51" t="s">
        <v>199</v>
      </c>
      <c r="K1" s="51" t="s">
        <v>200</v>
      </c>
      <c r="L1" s="51" t="s">
        <v>201</v>
      </c>
      <c r="M1" s="51" t="s">
        <v>202</v>
      </c>
      <c r="N1" s="51" t="s">
        <v>203</v>
      </c>
      <c r="O1" s="51" t="s">
        <v>204</v>
      </c>
      <c r="P1" s="51" t="s">
        <v>205</v>
      </c>
      <c r="Q1" s="51" t="s">
        <v>206</v>
      </c>
      <c r="R1" s="51" t="s">
        <v>207</v>
      </c>
      <c r="S1" s="51" t="s">
        <v>208</v>
      </c>
      <c r="T1" s="51" t="s">
        <v>209</v>
      </c>
      <c r="U1" s="51" t="s">
        <v>210</v>
      </c>
      <c r="V1" s="51" t="s">
        <v>211</v>
      </c>
      <c r="W1" s="51" t="s">
        <v>212</v>
      </c>
      <c r="X1" s="51" t="s">
        <v>213</v>
      </c>
      <c r="Y1" s="51" t="s">
        <v>214</v>
      </c>
      <c r="Z1" s="5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</row>
    <row r="2" spans="1:31" x14ac:dyDescent="0.2">
      <c r="A2" s="191" t="s">
        <v>224</v>
      </c>
    </row>
    <row r="3" spans="1:31" x14ac:dyDescent="0.2">
      <c r="A3" s="192" t="s">
        <v>225</v>
      </c>
      <c r="B3" s="200">
        <v>12623</v>
      </c>
      <c r="C3" s="200">
        <v>12123</v>
      </c>
      <c r="D3" s="200">
        <v>12119</v>
      </c>
      <c r="E3" s="200">
        <v>10892</v>
      </c>
      <c r="F3" s="201">
        <v>47757</v>
      </c>
      <c r="G3" s="200">
        <v>14210</v>
      </c>
      <c r="H3" s="200">
        <v>13318</v>
      </c>
      <c r="I3" s="200">
        <v>14405</v>
      </c>
      <c r="J3" s="200">
        <v>13592</v>
      </c>
      <c r="K3" s="201">
        <v>55525</v>
      </c>
      <c r="L3" s="200">
        <v>19814</v>
      </c>
      <c r="M3" s="200">
        <v>19428</v>
      </c>
      <c r="N3" s="200">
        <v>22478</v>
      </c>
      <c r="O3" s="200">
        <v>21963</v>
      </c>
      <c r="P3" s="201">
        <v>83683</v>
      </c>
      <c r="Q3" s="200">
        <v>25407</v>
      </c>
      <c r="R3" s="200">
        <v>20050</v>
      </c>
      <c r="S3" s="200">
        <v>27301</v>
      </c>
      <c r="T3" s="200">
        <v>28230</v>
      </c>
      <c r="U3" s="202">
        <v>100988</v>
      </c>
      <c r="V3" s="203">
        <v>26983.827991347942</v>
      </c>
      <c r="W3" s="203">
        <v>28852.346695591532</v>
      </c>
      <c r="X3" s="203">
        <v>30322.428893710119</v>
      </c>
      <c r="Y3" s="203">
        <v>35049.558862028309</v>
      </c>
      <c r="Z3" s="204">
        <v>121208.1624426779</v>
      </c>
      <c r="AA3" s="204">
        <v>146728.61204150773</v>
      </c>
      <c r="AB3" s="204">
        <v>153011.60969914927</v>
      </c>
      <c r="AC3" s="204">
        <v>161478.03054719389</v>
      </c>
      <c r="AD3" s="204">
        <v>171190.06134912104</v>
      </c>
      <c r="AE3" s="204">
        <v>182154.64645319703</v>
      </c>
    </row>
    <row r="4" spans="1:31" x14ac:dyDescent="0.2">
      <c r="A4" s="192" t="s">
        <v>226</v>
      </c>
      <c r="B4" s="200">
        <v>3315</v>
      </c>
      <c r="C4" s="200">
        <v>2794</v>
      </c>
      <c r="D4" s="200">
        <v>2993</v>
      </c>
      <c r="E4" s="200">
        <v>2221</v>
      </c>
      <c r="F4" s="201">
        <v>11323</v>
      </c>
      <c r="G4" s="200">
        <v>3709</v>
      </c>
      <c r="H4" s="200">
        <v>3477</v>
      </c>
      <c r="I4" s="200">
        <v>3627</v>
      </c>
      <c r="J4" s="200">
        <v>2724</v>
      </c>
      <c r="K4" s="201">
        <v>13537</v>
      </c>
      <c r="L4" s="200">
        <v>4923</v>
      </c>
      <c r="M4" s="200">
        <v>4826</v>
      </c>
      <c r="N4" s="200">
        <v>5585</v>
      </c>
      <c r="O4" s="200">
        <v>5657</v>
      </c>
      <c r="P4" s="201">
        <v>20991</v>
      </c>
      <c r="Q4" s="200">
        <v>6511</v>
      </c>
      <c r="R4" s="200">
        <v>5282</v>
      </c>
      <c r="S4" s="200">
        <v>7083</v>
      </c>
      <c r="T4" s="200">
        <v>7327</v>
      </c>
      <c r="U4" s="202">
        <v>26203</v>
      </c>
      <c r="V4" s="203"/>
      <c r="W4" s="203"/>
      <c r="X4" s="203"/>
      <c r="Y4" s="203"/>
      <c r="Z4" s="204">
        <v>0</v>
      </c>
      <c r="AA4" s="204">
        <v>0</v>
      </c>
      <c r="AB4" s="204"/>
      <c r="AC4" s="204"/>
      <c r="AD4" s="204"/>
      <c r="AE4" s="204"/>
    </row>
    <row r="5" spans="1:31" x14ac:dyDescent="0.2">
      <c r="A5" s="192" t="s">
        <v>227</v>
      </c>
      <c r="B5" s="200">
        <v>1377</v>
      </c>
      <c r="C5" s="200">
        <v>1217</v>
      </c>
      <c r="D5" s="200">
        <v>1349</v>
      </c>
      <c r="E5" s="200">
        <v>2082</v>
      </c>
      <c r="F5" s="201">
        <v>6025</v>
      </c>
      <c r="G5" s="200">
        <v>1650</v>
      </c>
      <c r="H5" s="200">
        <v>1636</v>
      </c>
      <c r="I5" s="200">
        <v>2041</v>
      </c>
      <c r="J5" s="200">
        <v>2035</v>
      </c>
      <c r="K5" s="201">
        <v>7362</v>
      </c>
      <c r="L5" s="200">
        <v>1719</v>
      </c>
      <c r="M5" s="200">
        <v>2177</v>
      </c>
      <c r="N5" s="200">
        <v>2525</v>
      </c>
      <c r="O5" s="200">
        <v>2992</v>
      </c>
      <c r="P5" s="201">
        <v>9413</v>
      </c>
      <c r="Q5" s="200">
        <v>2914</v>
      </c>
      <c r="R5" s="200">
        <v>8845</v>
      </c>
      <c r="S5" s="200">
        <v>2150</v>
      </c>
      <c r="T5" s="200">
        <v>5198</v>
      </c>
      <c r="U5" s="202">
        <v>19107</v>
      </c>
      <c r="V5" s="203">
        <v>3973.8624657534247</v>
      </c>
      <c r="W5" s="203">
        <v>4218.0277568624506</v>
      </c>
      <c r="X5" s="203">
        <v>4462.5815881815997</v>
      </c>
      <c r="Y5" s="203">
        <v>4656.7684584287399</v>
      </c>
      <c r="Z5" s="204">
        <v>17311.240269226215</v>
      </c>
      <c r="AA5" s="204">
        <v>20351.130112548315</v>
      </c>
      <c r="AB5" s="204">
        <v>22147.690161237009</v>
      </c>
      <c r="AC5" s="204">
        <v>24943.431588953983</v>
      </c>
      <c r="AD5" s="204">
        <v>27553.682759459487</v>
      </c>
      <c r="AE5" s="204">
        <v>29990.688892692757</v>
      </c>
    </row>
    <row r="6" spans="1:31" x14ac:dyDescent="0.2">
      <c r="A6" s="192" t="s">
        <v>228</v>
      </c>
      <c r="B6" s="200">
        <v>0</v>
      </c>
      <c r="C6" s="200">
        <v>0</v>
      </c>
      <c r="D6" s="200">
        <v>0</v>
      </c>
      <c r="E6" s="200">
        <v>0</v>
      </c>
      <c r="F6" s="201">
        <v>0</v>
      </c>
      <c r="G6" s="200">
        <v>0</v>
      </c>
      <c r="H6" s="200">
        <v>0</v>
      </c>
      <c r="I6" s="200">
        <v>0</v>
      </c>
      <c r="J6" s="200">
        <v>0</v>
      </c>
      <c r="K6" s="201">
        <v>0</v>
      </c>
      <c r="L6" s="200">
        <v>0</v>
      </c>
      <c r="M6" s="200">
        <v>0</v>
      </c>
      <c r="N6" s="200">
        <v>0</v>
      </c>
      <c r="O6" s="200">
        <v>0</v>
      </c>
      <c r="P6" s="201">
        <v>0</v>
      </c>
      <c r="Q6" s="200">
        <v>0</v>
      </c>
      <c r="R6" s="200">
        <v>0</v>
      </c>
      <c r="S6" s="200">
        <v>0</v>
      </c>
      <c r="T6" s="200">
        <v>0</v>
      </c>
      <c r="U6" s="202">
        <v>0</v>
      </c>
      <c r="V6" s="203"/>
      <c r="W6" s="203"/>
      <c r="X6" s="203"/>
      <c r="Y6" s="203"/>
      <c r="Z6" s="204">
        <v>0</v>
      </c>
      <c r="AA6" s="204">
        <v>0</v>
      </c>
      <c r="AB6" s="204"/>
      <c r="AC6" s="204"/>
      <c r="AD6" s="204"/>
      <c r="AE6" s="204"/>
    </row>
    <row r="7" spans="1:31" x14ac:dyDescent="0.2">
      <c r="A7" s="193" t="s">
        <v>229</v>
      </c>
      <c r="B7" s="200">
        <v>0</v>
      </c>
      <c r="C7" s="200">
        <v>0</v>
      </c>
      <c r="D7" s="200">
        <v>0</v>
      </c>
      <c r="E7" s="200">
        <v>0</v>
      </c>
      <c r="F7" s="201">
        <v>58</v>
      </c>
      <c r="G7" s="200">
        <v>0</v>
      </c>
      <c r="H7" s="200">
        <v>0</v>
      </c>
      <c r="I7" s="200">
        <v>0</v>
      </c>
      <c r="J7" s="200">
        <v>0</v>
      </c>
      <c r="K7" s="201">
        <v>139</v>
      </c>
      <c r="L7" s="200">
        <v>0</v>
      </c>
      <c r="M7" s="200">
        <v>0</v>
      </c>
      <c r="N7" s="200">
        <v>0</v>
      </c>
      <c r="O7" s="200">
        <v>0</v>
      </c>
      <c r="P7" s="201">
        <v>-527</v>
      </c>
      <c r="Q7" s="200">
        <v>0</v>
      </c>
      <c r="R7" s="200">
        <v>0</v>
      </c>
      <c r="S7" s="200">
        <v>0</v>
      </c>
      <c r="T7" s="200">
        <v>0</v>
      </c>
      <c r="U7" s="202">
        <v>-198</v>
      </c>
      <c r="V7" s="203"/>
      <c r="W7" s="203"/>
      <c r="X7" s="203"/>
      <c r="Y7" s="203"/>
      <c r="Z7" s="204">
        <v>0</v>
      </c>
      <c r="AA7" s="204">
        <v>0</v>
      </c>
      <c r="AB7" s="204"/>
      <c r="AC7" s="204"/>
      <c r="AD7" s="204"/>
      <c r="AE7" s="204"/>
    </row>
    <row r="8" spans="1:31" x14ac:dyDescent="0.2">
      <c r="A8" s="193" t="s">
        <v>230</v>
      </c>
      <c r="B8" s="200">
        <v>0</v>
      </c>
      <c r="C8" s="200">
        <v>0</v>
      </c>
      <c r="D8" s="200">
        <v>0</v>
      </c>
      <c r="E8" s="200">
        <v>0</v>
      </c>
      <c r="F8" s="201">
        <v>-340</v>
      </c>
      <c r="G8" s="200">
        <v>0</v>
      </c>
      <c r="H8" s="200">
        <v>0</v>
      </c>
      <c r="I8" s="200">
        <v>0</v>
      </c>
      <c r="J8" s="200">
        <v>0</v>
      </c>
      <c r="K8" s="201">
        <v>124</v>
      </c>
      <c r="L8" s="200">
        <v>0</v>
      </c>
      <c r="M8" s="200">
        <v>0</v>
      </c>
      <c r="N8" s="200">
        <v>0</v>
      </c>
      <c r="O8" s="200">
        <v>0</v>
      </c>
      <c r="P8" s="201">
        <v>106</v>
      </c>
      <c r="Q8" s="200">
        <v>0</v>
      </c>
      <c r="R8" s="200">
        <v>0</v>
      </c>
      <c r="S8" s="200">
        <v>0</v>
      </c>
      <c r="T8" s="200">
        <v>0</v>
      </c>
      <c r="U8" s="202">
        <v>19</v>
      </c>
      <c r="V8" s="203"/>
      <c r="W8" s="203"/>
      <c r="X8" s="203"/>
      <c r="Y8" s="203"/>
      <c r="Z8" s="204">
        <v>0</v>
      </c>
      <c r="AA8" s="204">
        <v>0</v>
      </c>
      <c r="AB8" s="204"/>
      <c r="AC8" s="204"/>
      <c r="AD8" s="204"/>
      <c r="AE8" s="204"/>
    </row>
    <row r="9" spans="1:31" x14ac:dyDescent="0.2">
      <c r="A9" s="193" t="s">
        <v>231</v>
      </c>
      <c r="B9" s="200">
        <v>0</v>
      </c>
      <c r="C9" s="200">
        <v>0</v>
      </c>
      <c r="D9" s="200">
        <v>0</v>
      </c>
      <c r="E9" s="200">
        <v>0</v>
      </c>
      <c r="F9" s="201">
        <v>24</v>
      </c>
      <c r="G9" s="200">
        <v>0</v>
      </c>
      <c r="H9" s="200">
        <v>0</v>
      </c>
      <c r="I9" s="200">
        <v>0</v>
      </c>
      <c r="J9" s="200">
        <v>0</v>
      </c>
      <c r="K9" s="201">
        <v>189</v>
      </c>
      <c r="L9" s="200">
        <v>0</v>
      </c>
      <c r="M9" s="200">
        <v>0</v>
      </c>
      <c r="N9" s="200">
        <v>0</v>
      </c>
      <c r="O9" s="200">
        <v>0</v>
      </c>
      <c r="P9" s="201">
        <v>-81</v>
      </c>
      <c r="Q9" s="200">
        <v>0</v>
      </c>
      <c r="R9" s="200">
        <v>0</v>
      </c>
      <c r="S9" s="200">
        <v>0</v>
      </c>
      <c r="T9" s="200">
        <v>0</v>
      </c>
      <c r="U9" s="202">
        <v>17</v>
      </c>
      <c r="V9" s="203"/>
      <c r="W9" s="203"/>
      <c r="X9" s="203"/>
      <c r="Y9" s="203"/>
      <c r="Z9" s="204">
        <v>0</v>
      </c>
      <c r="AA9" s="204">
        <v>0</v>
      </c>
      <c r="AB9" s="204"/>
      <c r="AC9" s="204"/>
      <c r="AD9" s="204"/>
      <c r="AE9" s="204"/>
    </row>
    <row r="10" spans="1:31" x14ac:dyDescent="0.2">
      <c r="A10" s="193" t="s">
        <v>232</v>
      </c>
      <c r="B10" s="200">
        <v>0</v>
      </c>
      <c r="C10" s="200">
        <v>0</v>
      </c>
      <c r="D10" s="200">
        <v>0</v>
      </c>
      <c r="E10" s="200">
        <v>0</v>
      </c>
      <c r="F10" s="201">
        <v>0</v>
      </c>
      <c r="G10" s="200">
        <v>0</v>
      </c>
      <c r="H10" s="200">
        <v>0</v>
      </c>
      <c r="I10" s="200">
        <v>0</v>
      </c>
      <c r="J10" s="200">
        <v>0</v>
      </c>
      <c r="K10" s="201">
        <v>0</v>
      </c>
      <c r="L10" s="200">
        <v>0</v>
      </c>
      <c r="M10" s="200">
        <v>0</v>
      </c>
      <c r="N10" s="200">
        <v>0</v>
      </c>
      <c r="O10" s="200">
        <v>0</v>
      </c>
      <c r="P10" s="201">
        <v>0</v>
      </c>
      <c r="Q10" s="200">
        <v>0</v>
      </c>
      <c r="R10" s="200">
        <v>0</v>
      </c>
      <c r="S10" s="200">
        <v>0</v>
      </c>
      <c r="T10" s="200">
        <v>0</v>
      </c>
      <c r="U10" s="202">
        <v>0</v>
      </c>
      <c r="V10" s="203"/>
      <c r="W10" s="203"/>
      <c r="X10" s="203"/>
      <c r="Y10" s="203"/>
      <c r="Z10" s="204">
        <v>0</v>
      </c>
      <c r="AA10" s="204">
        <v>0</v>
      </c>
      <c r="AB10" s="204"/>
      <c r="AC10" s="204"/>
      <c r="AD10" s="204"/>
      <c r="AE10" s="204"/>
    </row>
    <row r="11" spans="1:31" x14ac:dyDescent="0.2">
      <c r="A11" s="193" t="s">
        <v>233</v>
      </c>
      <c r="B11" s="200">
        <v>0</v>
      </c>
      <c r="C11" s="200">
        <v>0</v>
      </c>
      <c r="D11" s="200">
        <v>0</v>
      </c>
      <c r="E11" s="200">
        <v>0</v>
      </c>
      <c r="F11" s="201">
        <v>0</v>
      </c>
      <c r="G11" s="200">
        <v>0</v>
      </c>
      <c r="H11" s="200">
        <v>0</v>
      </c>
      <c r="I11" s="200">
        <v>0</v>
      </c>
      <c r="J11" s="200">
        <v>0</v>
      </c>
      <c r="K11" s="201">
        <v>61</v>
      </c>
      <c r="L11" s="200">
        <v>0</v>
      </c>
      <c r="M11" s="200">
        <v>0</v>
      </c>
      <c r="N11" s="200">
        <v>0</v>
      </c>
      <c r="O11" s="200">
        <v>0</v>
      </c>
      <c r="P11" s="201">
        <v>-1224</v>
      </c>
      <c r="Q11" s="200">
        <v>0</v>
      </c>
      <c r="R11" s="200">
        <v>0</v>
      </c>
      <c r="S11" s="200">
        <v>0</v>
      </c>
      <c r="T11" s="200">
        <v>0</v>
      </c>
      <c r="U11" s="202">
        <v>0</v>
      </c>
      <c r="V11" s="203"/>
      <c r="W11" s="203"/>
      <c r="X11" s="203"/>
      <c r="Y11" s="203"/>
      <c r="Z11" s="204">
        <v>0</v>
      </c>
      <c r="AA11" s="204">
        <v>0</v>
      </c>
      <c r="AB11" s="204"/>
      <c r="AC11" s="204"/>
      <c r="AD11" s="204"/>
      <c r="AE11" s="204"/>
    </row>
    <row r="12" spans="1:31" x14ac:dyDescent="0.2">
      <c r="A12" s="193" t="s">
        <v>180</v>
      </c>
      <c r="B12" s="200">
        <v>0</v>
      </c>
      <c r="C12" s="200">
        <v>0</v>
      </c>
      <c r="D12" s="200">
        <v>0</v>
      </c>
      <c r="E12" s="200">
        <v>0</v>
      </c>
      <c r="F12" s="201">
        <v>0</v>
      </c>
      <c r="G12" s="200">
        <v>0</v>
      </c>
      <c r="H12" s="200">
        <v>0</v>
      </c>
      <c r="I12" s="200">
        <v>0</v>
      </c>
      <c r="J12" s="200">
        <v>0</v>
      </c>
      <c r="K12" s="201">
        <v>-260</v>
      </c>
      <c r="L12" s="200">
        <v>0</v>
      </c>
      <c r="M12" s="200">
        <v>0</v>
      </c>
      <c r="N12" s="200">
        <v>0</v>
      </c>
      <c r="O12" s="200">
        <v>0</v>
      </c>
      <c r="P12" s="201">
        <v>89</v>
      </c>
      <c r="Q12" s="200">
        <v>0</v>
      </c>
      <c r="R12" s="200">
        <v>0</v>
      </c>
      <c r="S12" s="200">
        <v>0</v>
      </c>
      <c r="T12" s="200">
        <v>0</v>
      </c>
      <c r="U12" s="202">
        <v>0</v>
      </c>
      <c r="V12" s="203"/>
      <c r="W12" s="203"/>
      <c r="X12" s="203"/>
      <c r="Y12" s="203"/>
      <c r="Z12" s="204">
        <v>0</v>
      </c>
      <c r="AA12" s="204">
        <v>0</v>
      </c>
      <c r="AB12" s="204"/>
      <c r="AC12" s="204"/>
      <c r="AD12" s="204"/>
      <c r="AE12" s="204"/>
    </row>
    <row r="13" spans="1:31" x14ac:dyDescent="0.2">
      <c r="A13" s="193" t="s">
        <v>234</v>
      </c>
      <c r="B13" s="200">
        <v>0</v>
      </c>
      <c r="C13" s="200">
        <v>0</v>
      </c>
      <c r="D13" s="200">
        <v>0</v>
      </c>
      <c r="E13" s="200">
        <v>0</v>
      </c>
      <c r="F13" s="201">
        <v>0</v>
      </c>
      <c r="G13" s="200">
        <v>0</v>
      </c>
      <c r="H13" s="200">
        <v>0</v>
      </c>
      <c r="I13" s="200">
        <v>0</v>
      </c>
      <c r="J13" s="200">
        <v>0</v>
      </c>
      <c r="K13" s="201">
        <v>0</v>
      </c>
      <c r="L13" s="200">
        <v>0</v>
      </c>
      <c r="M13" s="200">
        <v>0</v>
      </c>
      <c r="N13" s="200">
        <v>0</v>
      </c>
      <c r="O13" s="200">
        <v>0</v>
      </c>
      <c r="P13" s="201">
        <v>0</v>
      </c>
      <c r="Q13" s="200">
        <v>0</v>
      </c>
      <c r="R13" s="200">
        <v>0</v>
      </c>
      <c r="S13" s="200">
        <v>0</v>
      </c>
      <c r="T13" s="200">
        <v>-5846</v>
      </c>
      <c r="U13" s="202">
        <v>-5846</v>
      </c>
      <c r="V13" s="203"/>
      <c r="W13" s="203"/>
      <c r="X13" s="203"/>
      <c r="Y13" s="203"/>
      <c r="Z13" s="204">
        <v>0</v>
      </c>
      <c r="AA13" s="204">
        <v>0</v>
      </c>
      <c r="AB13" s="204"/>
      <c r="AC13" s="204"/>
      <c r="AD13" s="204"/>
      <c r="AE13" s="204"/>
    </row>
    <row r="14" spans="1:31" x14ac:dyDescent="0.2">
      <c r="A14" s="193" t="s">
        <v>235</v>
      </c>
      <c r="B14" s="200">
        <v>0</v>
      </c>
      <c r="C14" s="200">
        <v>0</v>
      </c>
      <c r="D14" s="200">
        <v>0</v>
      </c>
      <c r="E14" s="200">
        <v>0</v>
      </c>
      <c r="F14" s="201">
        <v>0</v>
      </c>
      <c r="G14" s="200">
        <v>0</v>
      </c>
      <c r="H14" s="200">
        <v>0</v>
      </c>
      <c r="I14" s="200">
        <v>0</v>
      </c>
      <c r="J14" s="200">
        <v>0</v>
      </c>
      <c r="K14" s="201">
        <v>0</v>
      </c>
      <c r="L14" s="200">
        <v>0</v>
      </c>
      <c r="M14" s="200">
        <v>0</v>
      </c>
      <c r="N14" s="200">
        <v>0</v>
      </c>
      <c r="O14" s="200">
        <v>0</v>
      </c>
      <c r="P14" s="201">
        <v>0</v>
      </c>
      <c r="Q14" s="200">
        <v>0</v>
      </c>
      <c r="R14" s="200">
        <v>0</v>
      </c>
      <c r="S14" s="200">
        <v>0</v>
      </c>
      <c r="T14" s="200">
        <v>-119</v>
      </c>
      <c r="U14" s="202">
        <v>-119</v>
      </c>
      <c r="V14" s="203"/>
      <c r="W14" s="203"/>
      <c r="X14" s="203"/>
      <c r="Y14" s="203"/>
      <c r="Z14" s="204">
        <v>0</v>
      </c>
      <c r="AA14" s="204">
        <v>0</v>
      </c>
      <c r="AB14" s="204"/>
      <c r="AC14" s="204"/>
      <c r="AD14" s="204"/>
      <c r="AE14" s="204"/>
    </row>
    <row r="15" spans="1:31" x14ac:dyDescent="0.2">
      <c r="A15" s="193" t="s">
        <v>236</v>
      </c>
      <c r="B15" s="200">
        <v>0</v>
      </c>
      <c r="C15" s="200">
        <v>0</v>
      </c>
      <c r="D15" s="200">
        <v>0</v>
      </c>
      <c r="E15" s="200">
        <v>0</v>
      </c>
      <c r="F15" s="201">
        <v>0</v>
      </c>
      <c r="G15" s="200">
        <v>0</v>
      </c>
      <c r="H15" s="200">
        <v>0</v>
      </c>
      <c r="I15" s="200">
        <v>0</v>
      </c>
      <c r="J15" s="200">
        <v>0</v>
      </c>
      <c r="K15" s="201">
        <v>0</v>
      </c>
      <c r="L15" s="200">
        <v>0</v>
      </c>
      <c r="M15" s="200">
        <v>0</v>
      </c>
      <c r="N15" s="200">
        <v>0</v>
      </c>
      <c r="O15" s="200">
        <v>0</v>
      </c>
      <c r="P15" s="201">
        <v>0</v>
      </c>
      <c r="Q15" s="200">
        <v>0</v>
      </c>
      <c r="R15" s="200">
        <v>0</v>
      </c>
      <c r="S15" s="200">
        <v>0</v>
      </c>
      <c r="T15" s="200">
        <v>-1088</v>
      </c>
      <c r="U15" s="202">
        <v>-1088</v>
      </c>
      <c r="V15" s="203"/>
      <c r="W15" s="203"/>
      <c r="X15" s="203"/>
      <c r="Y15" s="203"/>
      <c r="Z15" s="204">
        <v>0</v>
      </c>
      <c r="AA15" s="204">
        <v>0</v>
      </c>
      <c r="AB15" s="204"/>
      <c r="AC15" s="204"/>
      <c r="AD15" s="204"/>
      <c r="AE15" s="204"/>
    </row>
    <row r="16" spans="1:31" x14ac:dyDescent="0.2">
      <c r="A16" s="193" t="s">
        <v>237</v>
      </c>
      <c r="B16" s="200">
        <v>0</v>
      </c>
      <c r="C16" s="200">
        <v>0</v>
      </c>
      <c r="D16" s="200">
        <v>0</v>
      </c>
      <c r="E16" s="200">
        <v>0</v>
      </c>
      <c r="F16" s="201">
        <v>0</v>
      </c>
      <c r="G16" s="200">
        <v>0</v>
      </c>
      <c r="H16" s="200">
        <v>0</v>
      </c>
      <c r="I16" s="200">
        <v>0</v>
      </c>
      <c r="J16" s="200">
        <v>0</v>
      </c>
      <c r="K16" s="201">
        <v>0</v>
      </c>
      <c r="L16" s="200">
        <v>0</v>
      </c>
      <c r="M16" s="200">
        <v>0</v>
      </c>
      <c r="N16" s="200">
        <v>0</v>
      </c>
      <c r="O16" s="200">
        <v>0</v>
      </c>
      <c r="P16" s="201">
        <v>0</v>
      </c>
      <c r="Q16" s="200">
        <v>0</v>
      </c>
      <c r="R16" s="200">
        <v>0</v>
      </c>
      <c r="S16" s="200">
        <v>0</v>
      </c>
      <c r="T16" s="200">
        <v>-5098</v>
      </c>
      <c r="U16" s="202">
        <v>-5098</v>
      </c>
      <c r="V16" s="203"/>
      <c r="W16" s="203"/>
      <c r="X16" s="203"/>
      <c r="Y16" s="203"/>
      <c r="Z16" s="204">
        <v>0</v>
      </c>
      <c r="AA16" s="204">
        <v>0</v>
      </c>
      <c r="AB16" s="204"/>
      <c r="AC16" s="204"/>
      <c r="AD16" s="204"/>
      <c r="AE16" s="204"/>
    </row>
    <row r="17" spans="1:31" x14ac:dyDescent="0.2">
      <c r="A17" s="194" t="s">
        <v>238</v>
      </c>
      <c r="B17" s="203">
        <v>260</v>
      </c>
      <c r="C17" s="203">
        <v>260</v>
      </c>
      <c r="D17" s="203">
        <v>260</v>
      </c>
      <c r="E17" s="203">
        <v>260</v>
      </c>
      <c r="F17" s="204">
        <v>1040</v>
      </c>
      <c r="G17" s="203">
        <v>384.75</v>
      </c>
      <c r="H17" s="203">
        <v>384.75</v>
      </c>
      <c r="I17" s="203">
        <v>384.75</v>
      </c>
      <c r="J17" s="203">
        <v>384.75</v>
      </c>
      <c r="K17" s="204">
        <v>1539</v>
      </c>
      <c r="L17" s="203">
        <v>537.25</v>
      </c>
      <c r="M17" s="203">
        <v>537.25</v>
      </c>
      <c r="N17" s="203">
        <v>537.25</v>
      </c>
      <c r="O17" s="203">
        <v>537.25</v>
      </c>
      <c r="P17" s="204">
        <v>2149</v>
      </c>
      <c r="Q17" s="203">
        <v>500</v>
      </c>
      <c r="R17" s="203">
        <v>500</v>
      </c>
      <c r="S17" s="203">
        <v>500</v>
      </c>
      <c r="T17" s="203">
        <v>789</v>
      </c>
      <c r="U17" s="205">
        <v>2289</v>
      </c>
      <c r="V17" s="206">
        <v>500</v>
      </c>
      <c r="W17" s="206">
        <v>500</v>
      </c>
      <c r="X17" s="206">
        <v>500</v>
      </c>
      <c r="Y17" s="206">
        <v>500</v>
      </c>
      <c r="Z17" s="204">
        <v>2000</v>
      </c>
      <c r="AA17" s="204">
        <v>2000</v>
      </c>
      <c r="AB17" s="223">
        <v>2000</v>
      </c>
      <c r="AC17" s="223">
        <v>2000</v>
      </c>
      <c r="AD17" s="223">
        <v>2000</v>
      </c>
      <c r="AE17" s="223">
        <v>2000</v>
      </c>
    </row>
    <row r="18" spans="1:31" x14ac:dyDescent="0.2">
      <c r="A18" s="193" t="s">
        <v>239</v>
      </c>
      <c r="B18" s="200">
        <v>0</v>
      </c>
      <c r="C18" s="200">
        <v>0</v>
      </c>
      <c r="D18" s="200">
        <v>0</v>
      </c>
      <c r="E18" s="200">
        <v>0</v>
      </c>
      <c r="F18" s="201">
        <v>16581</v>
      </c>
      <c r="G18" s="200">
        <v>0</v>
      </c>
      <c r="H18" s="200">
        <v>0</v>
      </c>
      <c r="I18" s="200">
        <v>0</v>
      </c>
      <c r="J18" s="200">
        <v>0</v>
      </c>
      <c r="K18" s="201">
        <v>19080</v>
      </c>
      <c r="L18" s="200">
        <v>0</v>
      </c>
      <c r="M18" s="200">
        <v>0</v>
      </c>
      <c r="N18" s="200">
        <v>0</v>
      </c>
      <c r="O18" s="200">
        <v>0</v>
      </c>
      <c r="P18" s="201">
        <v>32243</v>
      </c>
      <c r="Q18" s="200">
        <v>0</v>
      </c>
      <c r="R18" s="200">
        <v>0</v>
      </c>
      <c r="S18" s="200">
        <v>0</v>
      </c>
      <c r="T18" s="200">
        <v>0</v>
      </c>
      <c r="U18" s="202">
        <v>22118</v>
      </c>
      <c r="V18" s="203"/>
      <c r="W18" s="203"/>
      <c r="X18" s="203"/>
      <c r="Y18" s="203"/>
      <c r="Z18" s="204">
        <v>0</v>
      </c>
      <c r="AA18" s="204">
        <v>0</v>
      </c>
      <c r="AB18" s="204"/>
      <c r="AC18" s="204"/>
      <c r="AD18" s="204"/>
      <c r="AE18" s="204"/>
    </row>
    <row r="19" spans="1:31" x14ac:dyDescent="0.2">
      <c r="A19" s="195" t="s">
        <v>240</v>
      </c>
      <c r="B19" s="207">
        <v>0</v>
      </c>
      <c r="C19" s="207">
        <v>0</v>
      </c>
      <c r="D19" s="207">
        <v>0</v>
      </c>
      <c r="E19" s="207">
        <v>0</v>
      </c>
      <c r="F19" s="208">
        <v>-4354</v>
      </c>
      <c r="G19" s="207">
        <v>0</v>
      </c>
      <c r="H19" s="207">
        <v>0</v>
      </c>
      <c r="I19" s="207">
        <v>0</v>
      </c>
      <c r="J19" s="207">
        <v>0</v>
      </c>
      <c r="K19" s="208">
        <v>1438</v>
      </c>
      <c r="L19" s="207">
        <v>0</v>
      </c>
      <c r="M19" s="207">
        <v>0</v>
      </c>
      <c r="N19" s="207">
        <v>0</v>
      </c>
      <c r="O19" s="207">
        <v>0</v>
      </c>
      <c r="P19" s="208">
        <v>-373</v>
      </c>
      <c r="Q19" s="207">
        <v>0</v>
      </c>
      <c r="R19" s="207">
        <v>0</v>
      </c>
      <c r="S19" s="207">
        <v>0</v>
      </c>
      <c r="T19" s="207">
        <v>0</v>
      </c>
      <c r="U19" s="209">
        <v>2935</v>
      </c>
      <c r="V19" s="210"/>
      <c r="W19" s="210"/>
      <c r="X19" s="210"/>
      <c r="Y19" s="210"/>
      <c r="Z19" s="211">
        <v>0</v>
      </c>
      <c r="AA19" s="211">
        <v>0</v>
      </c>
      <c r="AB19" s="211"/>
      <c r="AC19" s="211"/>
      <c r="AD19" s="211"/>
      <c r="AE19" s="211"/>
    </row>
    <row r="20" spans="1:31" x14ac:dyDescent="0.2">
      <c r="A20" s="192" t="s">
        <v>241</v>
      </c>
      <c r="B20" s="200">
        <v>1034</v>
      </c>
      <c r="C20" s="200">
        <v>8138</v>
      </c>
      <c r="D20" s="200">
        <v>5475</v>
      </c>
      <c r="E20" s="200">
        <v>-1638</v>
      </c>
      <c r="F20" s="201">
        <v>13009</v>
      </c>
      <c r="G20" s="200">
        <v>7388</v>
      </c>
      <c r="H20" s="200">
        <v>4417</v>
      </c>
      <c r="I20" s="200">
        <v>16902</v>
      </c>
      <c r="J20" s="200">
        <v>-6397</v>
      </c>
      <c r="K20" s="201">
        <v>22310</v>
      </c>
      <c r="L20" s="200">
        <v>20230</v>
      </c>
      <c r="M20" s="200">
        <v>10705</v>
      </c>
      <c r="N20" s="200">
        <v>1987</v>
      </c>
      <c r="O20" s="200">
        <v>-540</v>
      </c>
      <c r="P20" s="201">
        <v>32382</v>
      </c>
      <c r="Q20" s="200">
        <v>118</v>
      </c>
      <c r="R20" s="200">
        <v>11179</v>
      </c>
      <c r="S20" s="200">
        <v>18812</v>
      </c>
      <c r="T20" s="200">
        <v>-15080</v>
      </c>
      <c r="U20" s="202">
        <v>15029</v>
      </c>
      <c r="V20" s="203">
        <v>500</v>
      </c>
      <c r="W20" s="203">
        <v>500</v>
      </c>
      <c r="X20" s="203">
        <v>500</v>
      </c>
      <c r="Y20" s="203">
        <v>500</v>
      </c>
      <c r="Z20" s="204">
        <v>2000</v>
      </c>
      <c r="AA20" s="204">
        <v>2000</v>
      </c>
      <c r="AB20" s="204">
        <v>2000</v>
      </c>
      <c r="AC20" s="204">
        <v>2000</v>
      </c>
      <c r="AD20" s="204">
        <v>2000</v>
      </c>
      <c r="AE20" s="204">
        <v>2000</v>
      </c>
    </row>
    <row r="21" spans="1:31" x14ac:dyDescent="0.2">
      <c r="A21" s="192" t="s">
        <v>242</v>
      </c>
      <c r="B21" s="200">
        <v>13</v>
      </c>
      <c r="C21" s="200">
        <v>30</v>
      </c>
      <c r="D21" s="200">
        <v>106</v>
      </c>
      <c r="E21" s="200">
        <v>92</v>
      </c>
      <c r="F21" s="201">
        <v>241</v>
      </c>
      <c r="G21" s="200">
        <v>48</v>
      </c>
      <c r="H21" s="200">
        <v>61</v>
      </c>
      <c r="I21" s="200">
        <v>39</v>
      </c>
      <c r="J21" s="200">
        <v>128</v>
      </c>
      <c r="K21" s="201">
        <v>276</v>
      </c>
      <c r="L21" s="200">
        <v>188</v>
      </c>
      <c r="M21" s="200">
        <v>221</v>
      </c>
      <c r="N21" s="200">
        <v>290</v>
      </c>
      <c r="O21" s="200">
        <v>373</v>
      </c>
      <c r="P21" s="201">
        <v>1072</v>
      </c>
      <c r="Q21" s="200">
        <v>480</v>
      </c>
      <c r="R21" s="200">
        <v>67</v>
      </c>
      <c r="S21" s="200">
        <v>524</v>
      </c>
      <c r="T21" s="200">
        <v>813</v>
      </c>
      <c r="U21" s="202">
        <v>1884</v>
      </c>
      <c r="V21" s="203"/>
      <c r="W21" s="203"/>
      <c r="X21" s="203"/>
      <c r="Y21" s="203"/>
      <c r="Z21" s="204">
        <v>0</v>
      </c>
      <c r="AA21" s="204">
        <v>0</v>
      </c>
      <c r="AB21" s="204"/>
      <c r="AC21" s="204"/>
      <c r="AD21" s="204"/>
      <c r="AE21" s="204"/>
    </row>
    <row r="22" spans="1:31" x14ac:dyDescent="0.2">
      <c r="A22" s="192" t="s">
        <v>243</v>
      </c>
      <c r="B22" s="200">
        <v>-50</v>
      </c>
      <c r="C22" s="200">
        <v>-35</v>
      </c>
      <c r="D22" s="200">
        <v>-56</v>
      </c>
      <c r="E22" s="200">
        <v>-120</v>
      </c>
      <c r="F22" s="201">
        <v>-261</v>
      </c>
      <c r="G22" s="200">
        <v>-52</v>
      </c>
      <c r="H22" s="200">
        <v>-68</v>
      </c>
      <c r="I22" s="200">
        <v>-66</v>
      </c>
      <c r="J22" s="200">
        <v>-86</v>
      </c>
      <c r="K22" s="201">
        <v>-272</v>
      </c>
      <c r="L22" s="200">
        <v>-165</v>
      </c>
      <c r="M22" s="200">
        <v>-97</v>
      </c>
      <c r="N22" s="200">
        <v>-89</v>
      </c>
      <c r="O22" s="200">
        <v>-140</v>
      </c>
      <c r="P22" s="201">
        <v>-491</v>
      </c>
      <c r="Q22" s="200">
        <v>-140</v>
      </c>
      <c r="R22" s="200">
        <v>-77</v>
      </c>
      <c r="S22" s="200">
        <v>-142</v>
      </c>
      <c r="T22" s="200">
        <v>-253</v>
      </c>
      <c r="U22" s="202">
        <v>-612</v>
      </c>
      <c r="V22" s="203"/>
      <c r="W22" s="203"/>
      <c r="X22" s="203"/>
      <c r="Y22" s="203"/>
      <c r="Z22" s="204">
        <v>0</v>
      </c>
      <c r="AA22" s="204">
        <v>0</v>
      </c>
      <c r="AB22" s="204"/>
      <c r="AC22" s="204"/>
      <c r="AD22" s="204"/>
      <c r="AE22" s="204"/>
    </row>
    <row r="23" spans="1:31" x14ac:dyDescent="0.2">
      <c r="A23" s="192" t="s">
        <v>244</v>
      </c>
      <c r="B23" s="200">
        <v>-5931</v>
      </c>
      <c r="C23" s="200">
        <v>-1877</v>
      </c>
      <c r="D23" s="200">
        <v>-772</v>
      </c>
      <c r="E23" s="200">
        <v>-5858</v>
      </c>
      <c r="F23" s="201">
        <v>-14438</v>
      </c>
      <c r="G23" s="200">
        <v>-5260</v>
      </c>
      <c r="H23" s="200">
        <v>-2969</v>
      </c>
      <c r="I23" s="200">
        <v>-1699</v>
      </c>
      <c r="J23" s="200">
        <v>-4587</v>
      </c>
      <c r="K23" s="201">
        <v>-14515</v>
      </c>
      <c r="L23" s="200">
        <v>-6679</v>
      </c>
      <c r="M23" s="200">
        <v>-4668</v>
      </c>
      <c r="N23" s="200">
        <v>-3479</v>
      </c>
      <c r="O23" s="200">
        <v>-11071</v>
      </c>
      <c r="P23" s="201">
        <v>-25897</v>
      </c>
      <c r="Q23" s="200">
        <v>-12124</v>
      </c>
      <c r="R23" s="200">
        <v>-3944</v>
      </c>
      <c r="S23" s="200">
        <v>-615</v>
      </c>
      <c r="T23" s="200">
        <v>-12953</v>
      </c>
      <c r="U23" s="202">
        <v>-29636</v>
      </c>
      <c r="V23" s="203"/>
      <c r="W23" s="203"/>
      <c r="X23" s="203"/>
      <c r="Y23" s="203"/>
      <c r="Z23" s="204">
        <v>0</v>
      </c>
      <c r="AA23" s="204">
        <v>0</v>
      </c>
      <c r="AB23" s="204"/>
      <c r="AC23" s="204"/>
      <c r="AD23" s="204"/>
      <c r="AE23" s="204"/>
    </row>
    <row r="24" spans="1:31" x14ac:dyDescent="0.2">
      <c r="A24" s="192" t="s">
        <v>245</v>
      </c>
      <c r="B24" s="200">
        <v>0</v>
      </c>
      <c r="C24" s="200">
        <v>0</v>
      </c>
      <c r="D24" s="200">
        <v>0</v>
      </c>
      <c r="E24" s="200">
        <v>0</v>
      </c>
      <c r="F24" s="201">
        <v>0</v>
      </c>
      <c r="G24" s="200">
        <v>0</v>
      </c>
      <c r="H24" s="200">
        <v>0</v>
      </c>
      <c r="I24" s="200">
        <v>0</v>
      </c>
      <c r="J24" s="200">
        <v>0</v>
      </c>
      <c r="K24" s="201">
        <v>0</v>
      </c>
      <c r="L24" s="200">
        <v>0</v>
      </c>
      <c r="M24" s="200">
        <v>0</v>
      </c>
      <c r="N24" s="200">
        <v>0</v>
      </c>
      <c r="O24" s="200">
        <v>0</v>
      </c>
      <c r="P24" s="201">
        <v>0</v>
      </c>
      <c r="Q24" s="200">
        <v>0</v>
      </c>
      <c r="R24" s="200">
        <v>0</v>
      </c>
      <c r="S24" s="200">
        <v>0</v>
      </c>
      <c r="T24" s="200">
        <v>0</v>
      </c>
      <c r="U24" s="202">
        <v>0</v>
      </c>
      <c r="V24" s="203">
        <v>0</v>
      </c>
      <c r="W24" s="203">
        <v>0</v>
      </c>
      <c r="X24" s="203">
        <v>0</v>
      </c>
      <c r="Y24" s="203">
        <v>0</v>
      </c>
      <c r="Z24" s="204">
        <v>0</v>
      </c>
      <c r="AA24" s="204">
        <v>0</v>
      </c>
      <c r="AB24" s="204">
        <v>0</v>
      </c>
      <c r="AC24" s="204">
        <v>0</v>
      </c>
      <c r="AD24" s="204">
        <v>0</v>
      </c>
      <c r="AE24" s="204">
        <v>0</v>
      </c>
    </row>
    <row r="25" spans="1:31" x14ac:dyDescent="0.2">
      <c r="A25" s="196" t="s">
        <v>246</v>
      </c>
      <c r="B25" s="212">
        <v>12381</v>
      </c>
      <c r="C25" s="212">
        <v>22390</v>
      </c>
      <c r="D25" s="212">
        <v>21214</v>
      </c>
      <c r="E25" s="212">
        <v>7671</v>
      </c>
      <c r="F25" s="213">
        <v>63656</v>
      </c>
      <c r="G25" s="212">
        <v>21693</v>
      </c>
      <c r="H25" s="212">
        <v>19872</v>
      </c>
      <c r="I25" s="212">
        <v>35249</v>
      </c>
      <c r="J25" s="212">
        <v>7409</v>
      </c>
      <c r="K25" s="213">
        <v>84223</v>
      </c>
      <c r="L25" s="212">
        <v>40030</v>
      </c>
      <c r="M25" s="212">
        <v>32592</v>
      </c>
      <c r="N25" s="212">
        <v>29297</v>
      </c>
      <c r="O25" s="212">
        <v>19234</v>
      </c>
      <c r="P25" s="213">
        <v>121153</v>
      </c>
      <c r="Q25" s="212">
        <v>23166</v>
      </c>
      <c r="R25" s="212">
        <v>41402</v>
      </c>
      <c r="S25" s="212">
        <v>55113</v>
      </c>
      <c r="T25" s="212">
        <v>13282</v>
      </c>
      <c r="U25" s="214">
        <v>132963</v>
      </c>
      <c r="V25" s="215">
        <v>31457.690457101366</v>
      </c>
      <c r="W25" s="215">
        <v>33570.37445245398</v>
      </c>
      <c r="X25" s="215">
        <v>35285.010481891717</v>
      </c>
      <c r="Y25" s="215">
        <v>40206.327320457051</v>
      </c>
      <c r="Z25" s="216">
        <v>140519.40271190411</v>
      </c>
      <c r="AA25" s="216">
        <v>169079.74215405603</v>
      </c>
      <c r="AB25" s="216">
        <v>177159.29986038627</v>
      </c>
      <c r="AC25" s="216">
        <v>188421.46213614786</v>
      </c>
      <c r="AD25" s="216">
        <v>200743.74410858052</v>
      </c>
      <c r="AE25" s="216">
        <v>214145.33534588979</v>
      </c>
    </row>
    <row r="26" spans="1:31" x14ac:dyDescent="0.2">
      <c r="A26" s="192" t="s">
        <v>247</v>
      </c>
      <c r="B26" s="200">
        <v>-1126</v>
      </c>
      <c r="C26" s="200">
        <v>2865</v>
      </c>
      <c r="D26" s="200">
        <v>293</v>
      </c>
      <c r="E26" s="200">
        <v>-10688</v>
      </c>
      <c r="F26" s="201">
        <v>-8656</v>
      </c>
      <c r="G26" s="200">
        <v>1893</v>
      </c>
      <c r="H26" s="200">
        <v>4089</v>
      </c>
      <c r="I26" s="200">
        <v>-11010</v>
      </c>
      <c r="J26" s="200">
        <v>-308</v>
      </c>
      <c r="K26" s="201">
        <v>-5336</v>
      </c>
      <c r="L26" s="200">
        <v>-10216</v>
      </c>
      <c r="M26" s="200">
        <v>-4015</v>
      </c>
      <c r="N26" s="200">
        <v>11669</v>
      </c>
      <c r="O26" s="200">
        <v>-9683</v>
      </c>
      <c r="P26" s="201">
        <v>-12245</v>
      </c>
      <c r="Q26" s="200">
        <v>-8852</v>
      </c>
      <c r="R26" s="200">
        <v>9101</v>
      </c>
      <c r="S26" s="200">
        <v>-11263</v>
      </c>
      <c r="T26" s="200">
        <v>-981</v>
      </c>
      <c r="U26" s="202">
        <v>-11995</v>
      </c>
      <c r="V26" s="203">
        <v>5281.0435068493098</v>
      </c>
      <c r="W26" s="203">
        <v>-4414.4775671233001</v>
      </c>
      <c r="X26" s="203">
        <v>-4536.1308054794208</v>
      </c>
      <c r="Y26" s="203">
        <v>-4277.6226410958989</v>
      </c>
      <c r="Z26" s="204">
        <v>-7947.18750684931</v>
      </c>
      <c r="AA26" s="204">
        <v>-13496.26517589041</v>
      </c>
      <c r="AB26" s="204">
        <v>-4568.91850442961</v>
      </c>
      <c r="AC26" s="204">
        <v>-4572.077845711945</v>
      </c>
      <c r="AD26" s="204">
        <v>-5917.4976371828088</v>
      </c>
      <c r="AE26" s="204">
        <v>-6322.6863791392461</v>
      </c>
    </row>
    <row r="27" spans="1:31" x14ac:dyDescent="0.2">
      <c r="A27" s="196" t="s">
        <v>248</v>
      </c>
      <c r="B27" s="212">
        <v>11255</v>
      </c>
      <c r="C27" s="212">
        <v>25255</v>
      </c>
      <c r="D27" s="212">
        <v>21507</v>
      </c>
      <c r="E27" s="212">
        <v>-3017</v>
      </c>
      <c r="F27" s="213">
        <v>55000</v>
      </c>
      <c r="G27" s="212">
        <v>23586</v>
      </c>
      <c r="H27" s="212">
        <v>23961</v>
      </c>
      <c r="I27" s="212">
        <v>24239</v>
      </c>
      <c r="J27" s="212">
        <v>7101</v>
      </c>
      <c r="K27" s="213">
        <v>78887</v>
      </c>
      <c r="L27" s="212">
        <v>29814</v>
      </c>
      <c r="M27" s="212">
        <v>28577</v>
      </c>
      <c r="N27" s="212">
        <v>40966</v>
      </c>
      <c r="O27" s="212">
        <v>9551</v>
      </c>
      <c r="P27" s="213">
        <v>108908</v>
      </c>
      <c r="Q27" s="212">
        <v>14314</v>
      </c>
      <c r="R27" s="212">
        <v>50503</v>
      </c>
      <c r="S27" s="212">
        <v>43850</v>
      </c>
      <c r="T27" s="212">
        <v>12301</v>
      </c>
      <c r="U27" s="214">
        <v>120968</v>
      </c>
      <c r="V27" s="215">
        <v>36738.733963950675</v>
      </c>
      <c r="W27" s="215">
        <v>29155.89688533068</v>
      </c>
      <c r="X27" s="215">
        <v>30748.879676412296</v>
      </c>
      <c r="Y27" s="215">
        <v>35928.704679361152</v>
      </c>
      <c r="Z27" s="216">
        <v>132572.21520505479</v>
      </c>
      <c r="AA27" s="216">
        <v>155583.47697816562</v>
      </c>
      <c r="AB27" s="216">
        <v>172590.38135595666</v>
      </c>
      <c r="AC27" s="216">
        <v>183849.38429043593</v>
      </c>
      <c r="AD27" s="216">
        <v>194826.2464713977</v>
      </c>
      <c r="AE27" s="216">
        <v>207822.64896675054</v>
      </c>
    </row>
    <row r="28" spans="1:31" x14ac:dyDescent="0.2">
      <c r="A28" s="197"/>
      <c r="B28" s="217"/>
      <c r="C28" s="217"/>
      <c r="D28" s="217"/>
      <c r="E28" s="217"/>
      <c r="F28" s="218"/>
      <c r="G28" s="217"/>
      <c r="H28" s="217"/>
      <c r="I28" s="217"/>
      <c r="J28" s="217"/>
      <c r="K28" s="218"/>
      <c r="L28" s="217"/>
      <c r="M28" s="217"/>
      <c r="N28" s="217"/>
      <c r="O28" s="217"/>
      <c r="P28" s="218"/>
      <c r="Q28" s="217"/>
      <c r="R28" s="217"/>
      <c r="S28" s="217"/>
      <c r="T28" s="217"/>
      <c r="U28" s="219"/>
      <c r="V28" s="217"/>
      <c r="W28" s="217"/>
      <c r="X28" s="217"/>
      <c r="Y28" s="217"/>
      <c r="Z28" s="204"/>
      <c r="AA28" s="204"/>
      <c r="AB28" s="204"/>
      <c r="AC28" s="204"/>
      <c r="AD28" s="204"/>
      <c r="AE28" s="204"/>
    </row>
    <row r="29" spans="1:31" x14ac:dyDescent="0.2">
      <c r="A29" s="198" t="s">
        <v>249</v>
      </c>
      <c r="B29" s="217"/>
      <c r="C29" s="217"/>
      <c r="D29" s="217"/>
      <c r="E29" s="217"/>
      <c r="F29" s="218"/>
      <c r="G29" s="217"/>
      <c r="H29" s="217"/>
      <c r="I29" s="217"/>
      <c r="J29" s="217"/>
      <c r="K29" s="218"/>
      <c r="L29" s="217"/>
      <c r="M29" s="217"/>
      <c r="N29" s="217"/>
      <c r="O29" s="217"/>
      <c r="P29" s="218"/>
      <c r="Q29" s="217"/>
      <c r="R29" s="217"/>
      <c r="S29" s="217"/>
      <c r="T29" s="217"/>
      <c r="U29" s="219"/>
      <c r="V29" s="217"/>
      <c r="W29" s="217"/>
      <c r="X29" s="217"/>
      <c r="Y29" s="217"/>
      <c r="Z29" s="204"/>
      <c r="AA29" s="204"/>
      <c r="AB29" s="204"/>
      <c r="AC29" s="204"/>
      <c r="AD29" s="204"/>
      <c r="AE29" s="204"/>
    </row>
    <row r="30" spans="1:31" x14ac:dyDescent="0.2">
      <c r="A30" s="192" t="s">
        <v>250</v>
      </c>
      <c r="B30" s="200">
        <v>0</v>
      </c>
      <c r="C30" s="200">
        <v>0</v>
      </c>
      <c r="D30" s="200">
        <v>0</v>
      </c>
      <c r="E30" s="200">
        <v>0</v>
      </c>
      <c r="F30" s="201">
        <v>0</v>
      </c>
      <c r="G30" s="200">
        <v>0</v>
      </c>
      <c r="H30" s="200">
        <v>0</v>
      </c>
      <c r="I30" s="200">
        <v>0</v>
      </c>
      <c r="J30" s="200">
        <v>0</v>
      </c>
      <c r="K30" s="201">
        <v>0</v>
      </c>
      <c r="L30" s="200">
        <v>0</v>
      </c>
      <c r="M30" s="200">
        <v>0</v>
      </c>
      <c r="N30" s="200">
        <v>0</v>
      </c>
      <c r="O30" s="200">
        <v>0</v>
      </c>
      <c r="P30" s="201">
        <v>0</v>
      </c>
      <c r="Q30" s="200">
        <v>0</v>
      </c>
      <c r="R30" s="200">
        <v>0</v>
      </c>
      <c r="S30" s="200">
        <v>0</v>
      </c>
      <c r="T30" s="200">
        <v>0</v>
      </c>
      <c r="U30" s="202">
        <v>0</v>
      </c>
      <c r="V30" s="203"/>
      <c r="W30" s="203"/>
      <c r="X30" s="203"/>
      <c r="Y30" s="203"/>
      <c r="Z30" s="204">
        <v>0</v>
      </c>
      <c r="AA30" s="204">
        <v>0</v>
      </c>
      <c r="AB30" s="204"/>
      <c r="AC30" s="204"/>
      <c r="AD30" s="204"/>
      <c r="AE30" s="204"/>
    </row>
    <row r="31" spans="1:31" x14ac:dyDescent="0.2">
      <c r="A31" s="192" t="s">
        <v>251</v>
      </c>
      <c r="B31" s="200">
        <v>0</v>
      </c>
      <c r="C31" s="200">
        <v>0</v>
      </c>
      <c r="D31" s="200">
        <v>0</v>
      </c>
      <c r="E31" s="200">
        <v>0</v>
      </c>
      <c r="F31" s="201">
        <v>0</v>
      </c>
      <c r="G31" s="200">
        <v>0</v>
      </c>
      <c r="H31" s="200">
        <v>0</v>
      </c>
      <c r="I31" s="200">
        <v>0</v>
      </c>
      <c r="J31" s="200">
        <v>0</v>
      </c>
      <c r="K31" s="201">
        <v>0</v>
      </c>
      <c r="L31" s="200">
        <v>0</v>
      </c>
      <c r="M31" s="200">
        <v>0</v>
      </c>
      <c r="N31" s="200">
        <v>0</v>
      </c>
      <c r="O31" s="200">
        <v>0</v>
      </c>
      <c r="P31" s="201">
        <v>0</v>
      </c>
      <c r="Q31" s="200">
        <v>0</v>
      </c>
      <c r="R31" s="200">
        <v>0</v>
      </c>
      <c r="S31" s="200">
        <v>0</v>
      </c>
      <c r="T31" s="200">
        <v>0</v>
      </c>
      <c r="U31" s="202">
        <v>0</v>
      </c>
      <c r="V31" s="203"/>
      <c r="W31" s="203"/>
      <c r="X31" s="203"/>
      <c r="Y31" s="203"/>
      <c r="Z31" s="204">
        <v>0</v>
      </c>
      <c r="AA31" s="204">
        <v>0</v>
      </c>
      <c r="AB31" s="204"/>
      <c r="AC31" s="204"/>
      <c r="AD31" s="204"/>
      <c r="AE31" s="204"/>
    </row>
    <row r="32" spans="1:31" x14ac:dyDescent="0.2">
      <c r="A32" s="192" t="s">
        <v>252</v>
      </c>
      <c r="B32" s="200">
        <v>0</v>
      </c>
      <c r="C32" s="200">
        <v>0</v>
      </c>
      <c r="D32" s="200">
        <v>0</v>
      </c>
      <c r="E32" s="200">
        <v>-18283</v>
      </c>
      <c r="F32" s="201">
        <v>-18283</v>
      </c>
      <c r="G32" s="200">
        <v>0</v>
      </c>
      <c r="H32" s="200">
        <v>0</v>
      </c>
      <c r="I32" s="200">
        <v>0</v>
      </c>
      <c r="J32" s="200">
        <v>-7075</v>
      </c>
      <c r="K32" s="201">
        <v>-7075</v>
      </c>
      <c r="L32" s="200">
        <v>0</v>
      </c>
      <c r="M32" s="200">
        <v>0</v>
      </c>
      <c r="N32" s="200">
        <v>0</v>
      </c>
      <c r="O32" s="200">
        <v>0</v>
      </c>
      <c r="P32" s="201">
        <v>0</v>
      </c>
      <c r="Q32" s="200">
        <v>0</v>
      </c>
      <c r="R32" s="200">
        <v>-668</v>
      </c>
      <c r="S32" s="200">
        <v>0</v>
      </c>
      <c r="T32" s="200">
        <v>-81495</v>
      </c>
      <c r="U32" s="202">
        <v>-82163</v>
      </c>
      <c r="V32" s="203">
        <v>0</v>
      </c>
      <c r="W32" s="203">
        <v>0</v>
      </c>
      <c r="X32" s="203">
        <v>0</v>
      </c>
      <c r="Y32" s="203">
        <v>0</v>
      </c>
      <c r="Z32" s="204">
        <v>0</v>
      </c>
      <c r="AA32" s="204">
        <v>0</v>
      </c>
      <c r="AB32" s="204">
        <v>0</v>
      </c>
      <c r="AC32" s="204">
        <v>0</v>
      </c>
      <c r="AD32" s="204">
        <v>0</v>
      </c>
      <c r="AE32" s="204">
        <v>0</v>
      </c>
    </row>
    <row r="33" spans="1:31" x14ac:dyDescent="0.2">
      <c r="A33" s="199" t="s">
        <v>253</v>
      </c>
      <c r="B33" s="203">
        <v>-97</v>
      </c>
      <c r="C33" s="203">
        <v>-175</v>
      </c>
      <c r="D33" s="203">
        <v>-513</v>
      </c>
      <c r="E33" s="203">
        <v>-265</v>
      </c>
      <c r="F33" s="204">
        <v>-1050</v>
      </c>
      <c r="G33" s="203">
        <v>-260</v>
      </c>
      <c r="H33" s="203">
        <v>-140</v>
      </c>
      <c r="I33" s="203">
        <v>-995</v>
      </c>
      <c r="J33" s="203">
        <v>-1212</v>
      </c>
      <c r="K33" s="204">
        <v>-2607</v>
      </c>
      <c r="L33" s="203">
        <v>-108</v>
      </c>
      <c r="M33" s="203">
        <v>-1157</v>
      </c>
      <c r="N33" s="203">
        <v>-4796</v>
      </c>
      <c r="O33" s="203">
        <v>-7029</v>
      </c>
      <c r="P33" s="204">
        <v>-13090</v>
      </c>
      <c r="Q33" s="203">
        <v>-535</v>
      </c>
      <c r="R33" s="203">
        <v>-2768</v>
      </c>
      <c r="S33" s="203">
        <v>-385</v>
      </c>
      <c r="T33" s="203">
        <v>-457</v>
      </c>
      <c r="U33" s="205">
        <v>-4145</v>
      </c>
      <c r="V33" s="203">
        <v>0</v>
      </c>
      <c r="W33" s="203">
        <v>0</v>
      </c>
      <c r="X33" s="203">
        <v>0</v>
      </c>
      <c r="Y33" s="203">
        <v>0</v>
      </c>
      <c r="Z33" s="204">
        <v>0</v>
      </c>
      <c r="AA33" s="204">
        <v>0</v>
      </c>
      <c r="AB33" s="204">
        <v>0</v>
      </c>
      <c r="AC33" s="204">
        <v>0</v>
      </c>
      <c r="AD33" s="204">
        <v>0</v>
      </c>
      <c r="AE33" s="204">
        <v>0</v>
      </c>
    </row>
    <row r="34" spans="1:31" x14ac:dyDescent="0.2">
      <c r="A34" s="192" t="s">
        <v>254</v>
      </c>
      <c r="B34" s="200">
        <v>0</v>
      </c>
      <c r="C34" s="200">
        <v>0</v>
      </c>
      <c r="D34" s="200">
        <v>0</v>
      </c>
      <c r="E34" s="200">
        <v>0</v>
      </c>
      <c r="F34" s="201">
        <v>0</v>
      </c>
      <c r="G34" s="200">
        <v>0</v>
      </c>
      <c r="H34" s="200">
        <v>0</v>
      </c>
      <c r="I34" s="200">
        <v>0</v>
      </c>
      <c r="J34" s="200">
        <v>0</v>
      </c>
      <c r="K34" s="201">
        <v>0</v>
      </c>
      <c r="L34" s="200">
        <v>0</v>
      </c>
      <c r="M34" s="200">
        <v>0</v>
      </c>
      <c r="N34" s="200">
        <v>0</v>
      </c>
      <c r="O34" s="200">
        <v>0</v>
      </c>
      <c r="P34" s="201">
        <v>0</v>
      </c>
      <c r="Q34" s="200">
        <v>0</v>
      </c>
      <c r="R34" s="200">
        <v>0</v>
      </c>
      <c r="S34" s="200">
        <v>1</v>
      </c>
      <c r="T34" s="200">
        <v>-1</v>
      </c>
      <c r="U34" s="202">
        <v>0</v>
      </c>
      <c r="V34" s="203">
        <v>0</v>
      </c>
      <c r="W34" s="203">
        <v>0</v>
      </c>
      <c r="X34" s="203">
        <v>0</v>
      </c>
      <c r="Y34" s="203">
        <v>0</v>
      </c>
      <c r="Z34" s="204">
        <v>0</v>
      </c>
      <c r="AA34" s="204">
        <v>0</v>
      </c>
      <c r="AB34" s="204">
        <v>0</v>
      </c>
      <c r="AC34" s="204">
        <v>0</v>
      </c>
      <c r="AD34" s="204">
        <v>0</v>
      </c>
      <c r="AE34" s="204">
        <v>0</v>
      </c>
    </row>
    <row r="35" spans="1:31" x14ac:dyDescent="0.2">
      <c r="A35" s="199" t="s">
        <v>255</v>
      </c>
      <c r="B35" s="203">
        <v>-1402</v>
      </c>
      <c r="C35" s="203">
        <v>-1709</v>
      </c>
      <c r="D35" s="203">
        <v>-1175</v>
      </c>
      <c r="E35" s="203">
        <v>-2049</v>
      </c>
      <c r="F35" s="204">
        <v>-6335</v>
      </c>
      <c r="G35" s="203">
        <v>-1520</v>
      </c>
      <c r="H35" s="203">
        <v>-2435</v>
      </c>
      <c r="I35" s="203">
        <v>-3230</v>
      </c>
      <c r="J35" s="203">
        <v>-4961</v>
      </c>
      <c r="K35" s="204">
        <v>-12146</v>
      </c>
      <c r="L35" s="203">
        <v>-4693</v>
      </c>
      <c r="M35" s="203">
        <v>-5878</v>
      </c>
      <c r="N35" s="203">
        <v>-5828</v>
      </c>
      <c r="O35" s="203">
        <v>-9407</v>
      </c>
      <c r="P35" s="204">
        <v>-25806</v>
      </c>
      <c r="Q35" s="203">
        <v>-8474</v>
      </c>
      <c r="R35" s="203">
        <v>-10470</v>
      </c>
      <c r="S35" s="203">
        <v>-12119</v>
      </c>
      <c r="T35" s="203">
        <v>-16101</v>
      </c>
      <c r="U35" s="205">
        <v>-47164</v>
      </c>
      <c r="V35" s="203">
        <v>-16000</v>
      </c>
      <c r="W35" s="203">
        <v>-16000</v>
      </c>
      <c r="X35" s="203">
        <v>-16000</v>
      </c>
      <c r="Y35" s="203">
        <v>-16000</v>
      </c>
      <c r="Z35" s="204">
        <v>-64000</v>
      </c>
      <c r="AA35" s="204">
        <v>-64000</v>
      </c>
      <c r="AB35" s="204">
        <v>-64000</v>
      </c>
      <c r="AC35" s="204">
        <v>-64000</v>
      </c>
      <c r="AD35" s="204">
        <v>-64000</v>
      </c>
      <c r="AE35" s="204">
        <v>-64000</v>
      </c>
    </row>
    <row r="36" spans="1:31" x14ac:dyDescent="0.2">
      <c r="A36" s="192" t="s">
        <v>256</v>
      </c>
      <c r="B36" s="200">
        <v>1</v>
      </c>
      <c r="C36" s="200">
        <v>2</v>
      </c>
      <c r="D36" s="200">
        <v>-1</v>
      </c>
      <c r="E36" s="200">
        <v>-2</v>
      </c>
      <c r="F36" s="201">
        <v>0</v>
      </c>
      <c r="G36" s="200">
        <v>0</v>
      </c>
      <c r="H36" s="200">
        <v>0</v>
      </c>
      <c r="I36" s="200">
        <v>0</v>
      </c>
      <c r="J36" s="200">
        <v>0</v>
      </c>
      <c r="K36" s="201">
        <v>0</v>
      </c>
      <c r="L36" s="200">
        <v>33</v>
      </c>
      <c r="M36" s="200">
        <v>0</v>
      </c>
      <c r="N36" s="200">
        <v>0</v>
      </c>
      <c r="O36" s="200">
        <v>0</v>
      </c>
      <c r="P36" s="201">
        <v>33</v>
      </c>
      <c r="Q36" s="200">
        <v>0</v>
      </c>
      <c r="R36" s="200">
        <v>0</v>
      </c>
      <c r="S36" s="200">
        <v>0</v>
      </c>
      <c r="T36" s="200">
        <v>0</v>
      </c>
      <c r="U36" s="202">
        <v>0</v>
      </c>
      <c r="V36" s="203"/>
      <c r="W36" s="203"/>
      <c r="X36" s="203"/>
      <c r="Y36" s="203"/>
      <c r="Z36" s="204">
        <v>0</v>
      </c>
      <c r="AA36" s="204">
        <v>0</v>
      </c>
      <c r="AB36" s="204"/>
      <c r="AC36" s="204"/>
      <c r="AD36" s="204"/>
      <c r="AE36" s="204"/>
    </row>
    <row r="37" spans="1:31" x14ac:dyDescent="0.2">
      <c r="A37" s="192" t="s">
        <v>164</v>
      </c>
      <c r="B37" s="200">
        <v>0</v>
      </c>
      <c r="C37" s="200">
        <v>0</v>
      </c>
      <c r="D37" s="200">
        <v>0</v>
      </c>
      <c r="E37" s="200">
        <v>0</v>
      </c>
      <c r="F37" s="201">
        <v>0</v>
      </c>
      <c r="G37" s="200">
        <v>0</v>
      </c>
      <c r="H37" s="200">
        <v>0</v>
      </c>
      <c r="I37" s="200">
        <v>0</v>
      </c>
      <c r="J37" s="200">
        <v>0</v>
      </c>
      <c r="K37" s="201">
        <v>0</v>
      </c>
      <c r="L37" s="200">
        <v>0</v>
      </c>
      <c r="M37" s="200">
        <v>0</v>
      </c>
      <c r="N37" s="200">
        <v>0</v>
      </c>
      <c r="O37" s="200">
        <v>0</v>
      </c>
      <c r="P37" s="201">
        <v>0</v>
      </c>
      <c r="Q37" s="200">
        <v>0</v>
      </c>
      <c r="R37" s="200">
        <v>0</v>
      </c>
      <c r="S37" s="200">
        <v>0</v>
      </c>
      <c r="T37" s="200">
        <v>0</v>
      </c>
      <c r="U37" s="202">
        <v>0</v>
      </c>
      <c r="V37" s="203"/>
      <c r="W37" s="203"/>
      <c r="X37" s="203"/>
      <c r="Y37" s="203"/>
      <c r="Z37" s="204">
        <v>0</v>
      </c>
      <c r="AA37" s="204">
        <v>0</v>
      </c>
      <c r="AB37" s="204"/>
      <c r="AC37" s="204"/>
      <c r="AD37" s="204"/>
      <c r="AE37" s="204"/>
    </row>
    <row r="38" spans="1:31" x14ac:dyDescent="0.2">
      <c r="A38" s="192" t="s">
        <v>257</v>
      </c>
      <c r="B38" s="200">
        <v>-4</v>
      </c>
      <c r="C38" s="200">
        <v>0</v>
      </c>
      <c r="D38" s="200">
        <v>0</v>
      </c>
      <c r="E38" s="200">
        <v>0</v>
      </c>
      <c r="F38" s="201">
        <v>-4</v>
      </c>
      <c r="G38" s="200">
        <v>-7</v>
      </c>
      <c r="H38" s="200">
        <v>0</v>
      </c>
      <c r="I38" s="200">
        <v>0</v>
      </c>
      <c r="J38" s="200">
        <v>-162</v>
      </c>
      <c r="K38" s="201">
        <v>-169</v>
      </c>
      <c r="L38" s="200">
        <v>-7</v>
      </c>
      <c r="M38" s="200">
        <v>-244</v>
      </c>
      <c r="N38" s="200">
        <v>-8</v>
      </c>
      <c r="O38" s="200">
        <v>-12</v>
      </c>
      <c r="P38" s="201">
        <v>-271</v>
      </c>
      <c r="Q38" s="200">
        <v>-15</v>
      </c>
      <c r="R38" s="200">
        <v>-17</v>
      </c>
      <c r="S38" s="200">
        <v>-401</v>
      </c>
      <c r="T38" s="200">
        <v>-353</v>
      </c>
      <c r="U38" s="202">
        <v>-786</v>
      </c>
      <c r="V38" s="203"/>
      <c r="W38" s="203"/>
      <c r="X38" s="203"/>
      <c r="Y38" s="203"/>
      <c r="Z38" s="204">
        <v>0</v>
      </c>
      <c r="AA38" s="204">
        <v>0</v>
      </c>
      <c r="AB38" s="204"/>
      <c r="AC38" s="204"/>
      <c r="AD38" s="204"/>
      <c r="AE38" s="204"/>
    </row>
    <row r="39" spans="1:31" x14ac:dyDescent="0.2">
      <c r="A39" s="192" t="s">
        <v>258</v>
      </c>
      <c r="B39" s="200">
        <v>367</v>
      </c>
      <c r="C39" s="200">
        <v>401</v>
      </c>
      <c r="D39" s="200">
        <v>180</v>
      </c>
      <c r="E39" s="200">
        <v>224</v>
      </c>
      <c r="F39" s="201">
        <v>1172</v>
      </c>
      <c r="G39" s="200">
        <v>1725</v>
      </c>
      <c r="H39" s="200">
        <v>-6629</v>
      </c>
      <c r="I39" s="200">
        <v>9033</v>
      </c>
      <c r="J39" s="200">
        <v>2516</v>
      </c>
      <c r="K39" s="201">
        <v>6645</v>
      </c>
      <c r="L39" s="200">
        <v>482</v>
      </c>
      <c r="M39" s="200">
        <v>-7741</v>
      </c>
      <c r="N39" s="200">
        <v>12852</v>
      </c>
      <c r="O39" s="200">
        <v>2667</v>
      </c>
      <c r="P39" s="201">
        <v>8260</v>
      </c>
      <c r="Q39" s="200">
        <v>14125</v>
      </c>
      <c r="R39" s="200">
        <v>-25118</v>
      </c>
      <c r="S39" s="200">
        <v>28193</v>
      </c>
      <c r="T39" s="200">
        <v>7191</v>
      </c>
      <c r="U39" s="202">
        <v>24391</v>
      </c>
      <c r="V39" s="203"/>
      <c r="W39" s="203"/>
      <c r="X39" s="203"/>
      <c r="Y39" s="203"/>
      <c r="Z39" s="204">
        <v>0</v>
      </c>
      <c r="AA39" s="204">
        <v>0</v>
      </c>
      <c r="AB39" s="204"/>
      <c r="AC39" s="204"/>
      <c r="AD39" s="204"/>
      <c r="AE39" s="204"/>
    </row>
    <row r="40" spans="1:31" x14ac:dyDescent="0.2">
      <c r="A40" s="192" t="s">
        <v>259</v>
      </c>
      <c r="B40" s="200">
        <v>-2350</v>
      </c>
      <c r="C40" s="200">
        <v>-1405</v>
      </c>
      <c r="D40" s="200">
        <v>-3126</v>
      </c>
      <c r="E40" s="200">
        <v>-228</v>
      </c>
      <c r="F40" s="201">
        <v>-7109</v>
      </c>
      <c r="G40" s="200">
        <v>-1845</v>
      </c>
      <c r="H40" s="200">
        <v>5004</v>
      </c>
      <c r="I40" s="200">
        <v>-9769</v>
      </c>
      <c r="J40" s="200">
        <v>-2956</v>
      </c>
      <c r="K40" s="201">
        <v>-9566</v>
      </c>
      <c r="L40" s="200">
        <v>-2354</v>
      </c>
      <c r="M40" s="200">
        <v>5735</v>
      </c>
      <c r="N40" s="200">
        <v>-15463</v>
      </c>
      <c r="O40" s="200">
        <v>-936</v>
      </c>
      <c r="P40" s="201">
        <v>-13018</v>
      </c>
      <c r="Q40" s="200">
        <v>-1145</v>
      </c>
      <c r="R40" s="200">
        <v>18310</v>
      </c>
      <c r="S40" s="200">
        <v>-36193</v>
      </c>
      <c r="T40" s="200">
        <v>0</v>
      </c>
      <c r="U40" s="202">
        <v>-19028</v>
      </c>
      <c r="V40" s="203"/>
      <c r="W40" s="203"/>
      <c r="X40" s="203"/>
      <c r="Y40" s="203"/>
      <c r="Z40" s="204">
        <v>0</v>
      </c>
      <c r="AA40" s="204">
        <v>0</v>
      </c>
      <c r="AB40" s="204"/>
      <c r="AC40" s="204"/>
      <c r="AD40" s="204"/>
      <c r="AE40" s="204"/>
    </row>
    <row r="41" spans="1:31" x14ac:dyDescent="0.2">
      <c r="A41" s="192" t="s">
        <v>260</v>
      </c>
      <c r="B41" s="200">
        <v>4</v>
      </c>
      <c r="C41" s="200">
        <v>0</v>
      </c>
      <c r="D41" s="200">
        <v>0</v>
      </c>
      <c r="E41" s="200">
        <v>0</v>
      </c>
      <c r="F41" s="201">
        <v>4</v>
      </c>
      <c r="G41" s="200">
        <v>0</v>
      </c>
      <c r="H41" s="200">
        <v>0</v>
      </c>
      <c r="I41" s="200">
        <v>0</v>
      </c>
      <c r="J41" s="200">
        <v>0</v>
      </c>
      <c r="K41" s="201">
        <v>0</v>
      </c>
      <c r="L41" s="200">
        <v>0</v>
      </c>
      <c r="M41" s="200">
        <v>0</v>
      </c>
      <c r="N41" s="200">
        <v>0</v>
      </c>
      <c r="O41" s="200">
        <v>0</v>
      </c>
      <c r="P41" s="201">
        <v>0</v>
      </c>
      <c r="Q41" s="200">
        <v>0</v>
      </c>
      <c r="R41" s="200">
        <v>0</v>
      </c>
      <c r="S41" s="200">
        <v>0</v>
      </c>
      <c r="T41" s="200">
        <v>0</v>
      </c>
      <c r="U41" s="202">
        <v>0</v>
      </c>
      <c r="V41" s="203"/>
      <c r="W41" s="203"/>
      <c r="X41" s="203"/>
      <c r="Y41" s="203"/>
      <c r="Z41" s="204">
        <v>0</v>
      </c>
      <c r="AA41" s="204">
        <v>0</v>
      </c>
      <c r="AB41" s="204"/>
      <c r="AC41" s="204"/>
      <c r="AD41" s="204"/>
      <c r="AE41" s="204"/>
    </row>
    <row r="42" spans="1:31" x14ac:dyDescent="0.2">
      <c r="A42" s="196" t="s">
        <v>261</v>
      </c>
      <c r="B42" s="212">
        <v>-3481</v>
      </c>
      <c r="C42" s="212">
        <v>-2886</v>
      </c>
      <c r="D42" s="212">
        <v>-4635</v>
      </c>
      <c r="E42" s="212">
        <v>-20603</v>
      </c>
      <c r="F42" s="213">
        <v>-31605</v>
      </c>
      <c r="G42" s="212">
        <v>-1907</v>
      </c>
      <c r="H42" s="212">
        <v>-4200</v>
      </c>
      <c r="I42" s="212">
        <v>-4961</v>
      </c>
      <c r="J42" s="212">
        <v>-13850</v>
      </c>
      <c r="K42" s="213">
        <v>-24918</v>
      </c>
      <c r="L42" s="212">
        <v>-6647</v>
      </c>
      <c r="M42" s="212">
        <v>-9285</v>
      </c>
      <c r="N42" s="212">
        <v>-13243</v>
      </c>
      <c r="O42" s="212">
        <v>-14717</v>
      </c>
      <c r="P42" s="213">
        <v>-43892</v>
      </c>
      <c r="Q42" s="212">
        <v>3956</v>
      </c>
      <c r="R42" s="212">
        <v>-20731</v>
      </c>
      <c r="S42" s="212">
        <v>-20904</v>
      </c>
      <c r="T42" s="212">
        <v>-91216</v>
      </c>
      <c r="U42" s="214">
        <v>-128895</v>
      </c>
      <c r="V42" s="215">
        <v>-16000</v>
      </c>
      <c r="W42" s="215">
        <v>-16000</v>
      </c>
      <c r="X42" s="215">
        <v>-16000</v>
      </c>
      <c r="Y42" s="215">
        <v>-16000</v>
      </c>
      <c r="Z42" s="216">
        <v>-64000</v>
      </c>
      <c r="AA42" s="216">
        <v>-64000</v>
      </c>
      <c r="AB42" s="216">
        <v>-64000</v>
      </c>
      <c r="AC42" s="216">
        <v>-64000</v>
      </c>
      <c r="AD42" s="216">
        <v>-64000</v>
      </c>
      <c r="AE42" s="216">
        <v>-64000</v>
      </c>
    </row>
    <row r="43" spans="1:31" x14ac:dyDescent="0.2">
      <c r="A43" s="197"/>
      <c r="B43" s="217"/>
      <c r="C43" s="217"/>
      <c r="D43" s="217"/>
      <c r="E43" s="217"/>
      <c r="F43" s="218"/>
      <c r="G43" s="217"/>
      <c r="H43" s="217"/>
      <c r="I43" s="217"/>
      <c r="J43" s="217"/>
      <c r="K43" s="218"/>
      <c r="L43" s="217"/>
      <c r="M43" s="217"/>
      <c r="N43" s="217"/>
      <c r="O43" s="217"/>
      <c r="P43" s="218"/>
      <c r="Q43" s="217"/>
      <c r="R43" s="217"/>
      <c r="S43" s="217"/>
      <c r="T43" s="217"/>
      <c r="U43" s="219"/>
      <c r="V43" s="217"/>
      <c r="W43" s="217"/>
      <c r="X43" s="217"/>
      <c r="Y43" s="217"/>
      <c r="Z43" s="204"/>
      <c r="AA43" s="204"/>
      <c r="AB43" s="204"/>
      <c r="AC43" s="204"/>
      <c r="AD43" s="204"/>
      <c r="AE43" s="204"/>
    </row>
    <row r="44" spans="1:31" x14ac:dyDescent="0.2">
      <c r="A44" s="198" t="s">
        <v>262</v>
      </c>
      <c r="B44" s="217"/>
      <c r="C44" s="217"/>
      <c r="D44" s="217"/>
      <c r="E44" s="217"/>
      <c r="F44" s="218"/>
      <c r="G44" s="217"/>
      <c r="H44" s="217"/>
      <c r="I44" s="217"/>
      <c r="J44" s="217"/>
      <c r="K44" s="218"/>
      <c r="L44" s="217"/>
      <c r="M44" s="217"/>
      <c r="N44" s="217"/>
      <c r="O44" s="217"/>
      <c r="P44" s="218"/>
      <c r="Q44" s="217"/>
      <c r="R44" s="217"/>
      <c r="S44" s="217"/>
      <c r="T44" s="217"/>
      <c r="U44" s="219"/>
      <c r="V44" s="217"/>
      <c r="W44" s="217"/>
      <c r="X44" s="217"/>
      <c r="Y44" s="217"/>
      <c r="Z44" s="204"/>
      <c r="AA44" s="204"/>
      <c r="AB44" s="204"/>
      <c r="AC44" s="204"/>
      <c r="AD44" s="204"/>
      <c r="AE44" s="204"/>
    </row>
    <row r="45" spans="1:31" x14ac:dyDescent="0.2">
      <c r="A45" s="199" t="s">
        <v>263</v>
      </c>
      <c r="B45" s="203">
        <v>-2960</v>
      </c>
      <c r="C45" s="203">
        <v>-5440</v>
      </c>
      <c r="D45" s="203">
        <v>-3535</v>
      </c>
      <c r="E45" s="203">
        <v>-7512</v>
      </c>
      <c r="F45" s="204">
        <v>-19447</v>
      </c>
      <c r="G45" s="203">
        <v>6643</v>
      </c>
      <c r="H45" s="203">
        <v>-18570</v>
      </c>
      <c r="I45" s="203">
        <v>-4620</v>
      </c>
      <c r="J45" s="203">
        <v>-7539</v>
      </c>
      <c r="K45" s="204">
        <v>-24086</v>
      </c>
      <c r="L45" s="203">
        <v>-5199</v>
      </c>
      <c r="M45" s="203">
        <v>-8823</v>
      </c>
      <c r="N45" s="203">
        <v>-6141</v>
      </c>
      <c r="O45" s="203">
        <v>-9761</v>
      </c>
      <c r="P45" s="204">
        <v>-29924</v>
      </c>
      <c r="Q45" s="203">
        <v>-2836</v>
      </c>
      <c r="R45" s="203">
        <v>-7449</v>
      </c>
      <c r="S45" s="203">
        <v>-2405</v>
      </c>
      <c r="T45" s="203">
        <v>-7491</v>
      </c>
      <c r="U45" s="205">
        <v>-20181</v>
      </c>
      <c r="V45" s="203">
        <v>0</v>
      </c>
      <c r="W45" s="203">
        <v>0</v>
      </c>
      <c r="X45" s="203">
        <v>0</v>
      </c>
      <c r="Y45" s="203">
        <v>0</v>
      </c>
      <c r="Z45" s="204">
        <v>0</v>
      </c>
      <c r="AA45" s="204">
        <v>0</v>
      </c>
      <c r="AB45" s="204">
        <v>0</v>
      </c>
      <c r="AC45" s="204">
        <v>0</v>
      </c>
      <c r="AD45" s="204">
        <v>0</v>
      </c>
      <c r="AE45" s="204">
        <v>0</v>
      </c>
    </row>
    <row r="46" spans="1:31" x14ac:dyDescent="0.2">
      <c r="A46" s="199" t="s">
        <v>264</v>
      </c>
      <c r="B46" s="203">
        <v>-349</v>
      </c>
      <c r="C46" s="203">
        <v>3934</v>
      </c>
      <c r="D46" s="203">
        <v>-175</v>
      </c>
      <c r="E46" s="203">
        <v>12061</v>
      </c>
      <c r="F46" s="204">
        <v>15471</v>
      </c>
      <c r="G46" s="203">
        <v>-12825</v>
      </c>
      <c r="H46" s="203">
        <v>10876</v>
      </c>
      <c r="I46" s="203">
        <v>-330</v>
      </c>
      <c r="J46" s="203">
        <v>-129</v>
      </c>
      <c r="K46" s="204">
        <v>-2408</v>
      </c>
      <c r="L46" s="203">
        <v>-478</v>
      </c>
      <c r="M46" s="203">
        <v>-373</v>
      </c>
      <c r="N46" s="203">
        <v>-261</v>
      </c>
      <c r="O46" s="203">
        <v>-355</v>
      </c>
      <c r="P46" s="204">
        <v>-1467</v>
      </c>
      <c r="Q46" s="203">
        <v>-317</v>
      </c>
      <c r="R46" s="203">
        <v>29460</v>
      </c>
      <c r="S46" s="203">
        <v>-413</v>
      </c>
      <c r="T46" s="203">
        <v>44326</v>
      </c>
      <c r="U46" s="205">
        <v>73056</v>
      </c>
      <c r="V46" s="203">
        <v>0</v>
      </c>
      <c r="W46" s="203">
        <v>0</v>
      </c>
      <c r="X46" s="203">
        <v>0</v>
      </c>
      <c r="Y46" s="203">
        <v>0</v>
      </c>
      <c r="Z46" s="204">
        <v>0</v>
      </c>
      <c r="AA46" s="204">
        <v>0</v>
      </c>
      <c r="AB46" s="204">
        <v>0</v>
      </c>
      <c r="AC46" s="204">
        <v>0</v>
      </c>
      <c r="AD46" s="204">
        <v>0</v>
      </c>
      <c r="AE46" s="204">
        <v>0</v>
      </c>
    </row>
    <row r="47" spans="1:31" x14ac:dyDescent="0.2">
      <c r="A47" s="199" t="s">
        <v>265</v>
      </c>
      <c r="B47" s="203">
        <v>0</v>
      </c>
      <c r="C47" s="203">
        <v>0</v>
      </c>
      <c r="D47" s="203">
        <v>0</v>
      </c>
      <c r="E47" s="203">
        <v>0</v>
      </c>
      <c r="F47" s="204">
        <v>0</v>
      </c>
      <c r="G47" s="203">
        <v>0</v>
      </c>
      <c r="H47" s="203">
        <v>0</v>
      </c>
      <c r="I47" s="203">
        <v>0</v>
      </c>
      <c r="J47" s="203">
        <v>0</v>
      </c>
      <c r="K47" s="204">
        <v>0</v>
      </c>
      <c r="L47" s="203">
        <v>0</v>
      </c>
      <c r="M47" s="203">
        <v>0</v>
      </c>
      <c r="N47" s="203">
        <v>0</v>
      </c>
      <c r="O47" s="203">
        <v>0</v>
      </c>
      <c r="P47" s="204">
        <v>0</v>
      </c>
      <c r="Q47" s="203">
        <v>0</v>
      </c>
      <c r="R47" s="203">
        <v>0</v>
      </c>
      <c r="S47" s="203">
        <v>0</v>
      </c>
      <c r="T47" s="203">
        <v>0</v>
      </c>
      <c r="U47" s="205">
        <v>0</v>
      </c>
      <c r="V47" s="203"/>
      <c r="W47" s="203"/>
      <c r="X47" s="203"/>
      <c r="Y47" s="203"/>
      <c r="Z47" s="204">
        <v>0</v>
      </c>
      <c r="AA47" s="204">
        <v>0</v>
      </c>
      <c r="AB47" s="204"/>
      <c r="AC47" s="204"/>
      <c r="AD47" s="204"/>
      <c r="AE47" s="204"/>
    </row>
    <row r="48" spans="1:31" x14ac:dyDescent="0.2">
      <c r="A48" s="192" t="s">
        <v>266</v>
      </c>
      <c r="B48" s="200">
        <v>-13495</v>
      </c>
      <c r="C48" s="200">
        <v>-1</v>
      </c>
      <c r="D48" s="200">
        <v>-8021</v>
      </c>
      <c r="E48" s="200">
        <v>0</v>
      </c>
      <c r="F48" s="201">
        <v>-21517</v>
      </c>
      <c r="G48" s="200">
        <v>-15690</v>
      </c>
      <c r="H48" s="200">
        <v>0</v>
      </c>
      <c r="I48" s="200">
        <v>-9613</v>
      </c>
      <c r="J48" s="200">
        <v>0</v>
      </c>
      <c r="K48" s="201">
        <v>-25303</v>
      </c>
      <c r="L48" s="200">
        <v>-18337</v>
      </c>
      <c r="M48" s="200">
        <v>0</v>
      </c>
      <c r="N48" s="200">
        <v>-13430</v>
      </c>
      <c r="O48" s="200">
        <v>0</v>
      </c>
      <c r="P48" s="201">
        <v>-31767</v>
      </c>
      <c r="Q48" s="200">
        <v>-28557</v>
      </c>
      <c r="R48" s="200">
        <v>0</v>
      </c>
      <c r="S48" s="200">
        <v>-15583</v>
      </c>
      <c r="T48" s="200">
        <v>0</v>
      </c>
      <c r="U48" s="202">
        <v>-44140</v>
      </c>
      <c r="V48" s="203">
        <v>-28423.821120000004</v>
      </c>
      <c r="W48" s="203">
        <v>0</v>
      </c>
      <c r="X48" s="203">
        <v>-13326.33101646666</v>
      </c>
      <c r="Y48" s="203">
        <v>0</v>
      </c>
      <c r="Z48" s="204">
        <v>-41750.152136466662</v>
      </c>
      <c r="AA48" s="204">
        <v>-41766.854702497381</v>
      </c>
      <c r="AB48" s="204">
        <v>-41787.163772652231</v>
      </c>
      <c r="AC48" s="204">
        <v>-41803.878638161295</v>
      </c>
      <c r="AD48" s="204">
        <v>-41820.600189616554</v>
      </c>
      <c r="AE48" s="204">
        <v>-41837.328429692396</v>
      </c>
    </row>
    <row r="49" spans="1:31" x14ac:dyDescent="0.2">
      <c r="A49" s="192" t="s">
        <v>267</v>
      </c>
      <c r="B49" s="200">
        <v>2329</v>
      </c>
      <c r="C49" s="200">
        <v>-2329</v>
      </c>
      <c r="D49" s="200">
        <v>0</v>
      </c>
      <c r="E49" s="200">
        <v>0</v>
      </c>
      <c r="F49" s="201">
        <v>0</v>
      </c>
      <c r="G49" s="200">
        <v>2737</v>
      </c>
      <c r="H49" s="200">
        <v>-2737</v>
      </c>
      <c r="I49" s="200">
        <v>0</v>
      </c>
      <c r="J49" s="200">
        <v>0</v>
      </c>
      <c r="K49" s="201">
        <v>0</v>
      </c>
      <c r="L49" s="200">
        <v>3393</v>
      </c>
      <c r="M49" s="200">
        <v>-3393</v>
      </c>
      <c r="N49" s="200">
        <v>0</v>
      </c>
      <c r="O49" s="200">
        <v>0</v>
      </c>
      <c r="P49" s="201">
        <v>0</v>
      </c>
      <c r="Q49" s="200">
        <v>5328</v>
      </c>
      <c r="R49" s="200">
        <v>-5328</v>
      </c>
      <c r="S49" s="200">
        <v>0</v>
      </c>
      <c r="T49" s="200">
        <v>0</v>
      </c>
      <c r="U49" s="202">
        <v>0</v>
      </c>
      <c r="V49" s="203"/>
      <c r="W49" s="203"/>
      <c r="X49" s="203"/>
      <c r="Y49" s="203"/>
      <c r="Z49" s="204">
        <v>0</v>
      </c>
      <c r="AA49" s="204">
        <v>0</v>
      </c>
      <c r="AB49" s="204"/>
      <c r="AC49" s="204"/>
      <c r="AD49" s="204"/>
      <c r="AE49" s="204"/>
    </row>
    <row r="50" spans="1:31" x14ac:dyDescent="0.2">
      <c r="A50" s="196" t="s">
        <v>268</v>
      </c>
      <c r="B50" s="212">
        <v>-14475</v>
      </c>
      <c r="C50" s="212">
        <v>-3836</v>
      </c>
      <c r="D50" s="212">
        <v>-11731</v>
      </c>
      <c r="E50" s="212">
        <v>4549</v>
      </c>
      <c r="F50" s="213">
        <v>-25493</v>
      </c>
      <c r="G50" s="212">
        <v>-19135</v>
      </c>
      <c r="H50" s="212">
        <v>-10431</v>
      </c>
      <c r="I50" s="212">
        <v>-14563</v>
      </c>
      <c r="J50" s="212">
        <v>-7668</v>
      </c>
      <c r="K50" s="213">
        <v>-51797</v>
      </c>
      <c r="L50" s="212">
        <v>-20621</v>
      </c>
      <c r="M50" s="212">
        <v>-12589</v>
      </c>
      <c r="N50" s="212">
        <v>-19832</v>
      </c>
      <c r="O50" s="212">
        <v>-10116</v>
      </c>
      <c r="P50" s="213">
        <v>-63158</v>
      </c>
      <c r="Q50" s="212">
        <v>-26382</v>
      </c>
      <c r="R50" s="212">
        <v>16683</v>
      </c>
      <c r="S50" s="212">
        <v>-18401</v>
      </c>
      <c r="T50" s="212">
        <v>36835</v>
      </c>
      <c r="U50" s="214">
        <v>8735</v>
      </c>
      <c r="V50" s="215">
        <v>-28423.821120000004</v>
      </c>
      <c r="W50" s="215">
        <v>0</v>
      </c>
      <c r="X50" s="215">
        <v>-13326.33101646666</v>
      </c>
      <c r="Y50" s="215">
        <v>0</v>
      </c>
      <c r="Z50" s="216">
        <v>-41750.152136466662</v>
      </c>
      <c r="AA50" s="216">
        <v>-41766.854702497381</v>
      </c>
      <c r="AB50" s="216">
        <v>-41787.163772652231</v>
      </c>
      <c r="AC50" s="216">
        <v>-41803.878638161295</v>
      </c>
      <c r="AD50" s="216">
        <v>-41820.600189616554</v>
      </c>
      <c r="AE50" s="216">
        <v>-41837.328429692396</v>
      </c>
    </row>
    <row r="51" spans="1:31" x14ac:dyDescent="0.2">
      <c r="A51" s="197"/>
      <c r="B51" s="217"/>
      <c r="C51" s="217"/>
      <c r="D51" s="217"/>
      <c r="E51" s="217"/>
      <c r="F51" s="218"/>
      <c r="G51" s="217"/>
      <c r="H51" s="217"/>
      <c r="I51" s="217"/>
      <c r="J51" s="217"/>
      <c r="K51" s="218"/>
      <c r="L51" s="217"/>
      <c r="M51" s="217"/>
      <c r="N51" s="217"/>
      <c r="O51" s="217"/>
      <c r="P51" s="218"/>
      <c r="Q51" s="217"/>
      <c r="R51" s="217"/>
      <c r="S51" s="217"/>
      <c r="T51" s="217"/>
      <c r="U51" s="219"/>
      <c r="V51" s="217"/>
      <c r="W51" s="217"/>
      <c r="X51" s="217"/>
      <c r="Y51" s="217"/>
      <c r="Z51" s="218"/>
      <c r="AA51" s="218"/>
      <c r="AB51" s="218"/>
      <c r="AC51" s="218"/>
      <c r="AD51" s="218"/>
      <c r="AE51" s="218"/>
    </row>
    <row r="52" spans="1:31" x14ac:dyDescent="0.2">
      <c r="A52" s="198" t="s">
        <v>269</v>
      </c>
      <c r="B52" s="220">
        <v>154</v>
      </c>
      <c r="C52" s="220">
        <v>15</v>
      </c>
      <c r="D52" s="220">
        <v>122</v>
      </c>
      <c r="E52" s="220">
        <v>300</v>
      </c>
      <c r="F52" s="221">
        <v>591</v>
      </c>
      <c r="G52" s="220">
        <v>-55</v>
      </c>
      <c r="H52" s="220">
        <v>218</v>
      </c>
      <c r="I52" s="220">
        <v>443</v>
      </c>
      <c r="J52" s="220">
        <v>-844</v>
      </c>
      <c r="K52" s="221">
        <v>-238</v>
      </c>
      <c r="L52" s="220">
        <v>-263</v>
      </c>
      <c r="M52" s="220">
        <v>-65</v>
      </c>
      <c r="N52" s="220">
        <v>418</v>
      </c>
      <c r="O52" s="220">
        <v>-209</v>
      </c>
      <c r="P52" s="221">
        <v>-119</v>
      </c>
      <c r="Q52" s="220">
        <v>44</v>
      </c>
      <c r="R52" s="220">
        <v>42</v>
      </c>
      <c r="S52" s="220">
        <v>-348</v>
      </c>
      <c r="T52" s="220">
        <v>717</v>
      </c>
      <c r="U52" s="222">
        <v>455</v>
      </c>
      <c r="V52" s="217"/>
      <c r="W52" s="217"/>
      <c r="X52" s="217"/>
      <c r="Y52" s="217"/>
      <c r="Z52" s="218">
        <v>0</v>
      </c>
      <c r="AA52" s="218">
        <v>0</v>
      </c>
      <c r="AB52" s="218"/>
      <c r="AC52" s="218"/>
      <c r="AD52" s="218"/>
      <c r="AE52" s="218"/>
    </row>
    <row r="53" spans="1:31" x14ac:dyDescent="0.2">
      <c r="A53" s="198" t="s">
        <v>270</v>
      </c>
      <c r="B53" s="220">
        <v>-6547</v>
      </c>
      <c r="C53" s="220">
        <v>18548</v>
      </c>
      <c r="D53" s="220">
        <v>5263</v>
      </c>
      <c r="E53" s="220">
        <v>-18771</v>
      </c>
      <c r="F53" s="221">
        <v>-1507</v>
      </c>
      <c r="G53" s="220">
        <v>2489</v>
      </c>
      <c r="H53" s="220">
        <v>9548</v>
      </c>
      <c r="I53" s="220">
        <v>5158</v>
      </c>
      <c r="J53" s="220">
        <v>-15261</v>
      </c>
      <c r="K53" s="221">
        <v>1934</v>
      </c>
      <c r="L53" s="220">
        <v>2283</v>
      </c>
      <c r="M53" s="220">
        <v>6638</v>
      </c>
      <c r="N53" s="220">
        <v>8309</v>
      </c>
      <c r="O53" s="220">
        <v>-15491</v>
      </c>
      <c r="P53" s="221">
        <v>1739</v>
      </c>
      <c r="Q53" s="220">
        <v>-8068</v>
      </c>
      <c r="R53" s="220">
        <v>46497</v>
      </c>
      <c r="S53" s="220">
        <v>4197</v>
      </c>
      <c r="T53" s="220">
        <v>-41363</v>
      </c>
      <c r="U53" s="222">
        <v>1263</v>
      </c>
      <c r="V53" s="217">
        <v>-7685.0871560493324</v>
      </c>
      <c r="W53" s="217">
        <v>13155.89688533068</v>
      </c>
      <c r="X53" s="217">
        <v>1422.5486599456344</v>
      </c>
      <c r="Y53" s="217">
        <v>19928.704679361152</v>
      </c>
      <c r="Z53" s="218">
        <v>26822.063068588119</v>
      </c>
      <c r="AA53" s="218">
        <v>49816.62227566824</v>
      </c>
      <c r="AB53" s="218">
        <v>66803.217583304431</v>
      </c>
      <c r="AC53" s="218">
        <v>78045.505652274645</v>
      </c>
      <c r="AD53" s="218">
        <v>89005.646281781141</v>
      </c>
      <c r="AE53" s="218">
        <v>101985.32053705814</v>
      </c>
    </row>
    <row r="54" spans="1:31" x14ac:dyDescent="0.2">
      <c r="A54" s="199"/>
      <c r="B54" s="217"/>
      <c r="C54" s="217"/>
      <c r="D54" s="217"/>
      <c r="E54" s="217"/>
      <c r="F54" s="218"/>
      <c r="G54" s="217"/>
      <c r="H54" s="217"/>
      <c r="I54" s="217"/>
      <c r="J54" s="217"/>
      <c r="K54" s="218"/>
      <c r="L54" s="217"/>
      <c r="M54" s="217"/>
      <c r="N54" s="217"/>
      <c r="O54" s="217"/>
      <c r="P54" s="218"/>
      <c r="Q54" s="217"/>
      <c r="R54" s="217"/>
      <c r="S54" s="217"/>
      <c r="T54" s="217"/>
      <c r="U54" s="219"/>
      <c r="V54" s="217"/>
      <c r="W54" s="217"/>
      <c r="X54" s="217"/>
      <c r="Y54" s="217"/>
      <c r="Z54" s="204"/>
      <c r="AA54" s="204"/>
      <c r="AB54" s="204"/>
      <c r="AC54" s="204"/>
      <c r="AD54" s="204"/>
      <c r="AE54" s="204"/>
    </row>
    <row r="55" spans="1:31" x14ac:dyDescent="0.2">
      <c r="A55" s="198" t="s">
        <v>271</v>
      </c>
      <c r="B55" s="220">
        <v>12226</v>
      </c>
      <c r="C55" s="220">
        <v>5679</v>
      </c>
      <c r="D55" s="220">
        <v>24227</v>
      </c>
      <c r="E55" s="220">
        <v>29490</v>
      </c>
      <c r="F55" s="221">
        <v>12226</v>
      </c>
      <c r="G55" s="220">
        <v>10719</v>
      </c>
      <c r="H55" s="220">
        <v>13208</v>
      </c>
      <c r="I55" s="220">
        <v>22756</v>
      </c>
      <c r="J55" s="220">
        <v>27914</v>
      </c>
      <c r="K55" s="221">
        <v>10719</v>
      </c>
      <c r="L55" s="220">
        <v>12653</v>
      </c>
      <c r="M55" s="220">
        <v>14936</v>
      </c>
      <c r="N55" s="220">
        <v>21574</v>
      </c>
      <c r="O55" s="220">
        <v>29883</v>
      </c>
      <c r="P55" s="221">
        <v>12653</v>
      </c>
      <c r="Q55" s="220">
        <v>14392</v>
      </c>
      <c r="R55" s="220">
        <v>6324</v>
      </c>
      <c r="S55" s="220">
        <v>52821</v>
      </c>
      <c r="T55" s="220">
        <v>57018</v>
      </c>
      <c r="U55" s="222">
        <v>14392</v>
      </c>
      <c r="V55" s="217">
        <v>15655</v>
      </c>
      <c r="W55" s="217">
        <v>7969.9128439506676</v>
      </c>
      <c r="X55" s="217">
        <v>21125.809729281347</v>
      </c>
      <c r="Y55" s="217">
        <v>22548.358389226982</v>
      </c>
      <c r="Z55" s="218">
        <v>15655</v>
      </c>
      <c r="AA55" s="218">
        <v>42477.063068588119</v>
      </c>
      <c r="AB55" s="218">
        <v>92293.685344256359</v>
      </c>
      <c r="AC55" s="218">
        <v>159096.90292756079</v>
      </c>
      <c r="AD55" s="218">
        <v>237142.40857983544</v>
      </c>
      <c r="AE55" s="218">
        <v>326148.05486161658</v>
      </c>
    </row>
    <row r="56" spans="1:31" x14ac:dyDescent="0.2">
      <c r="A56" s="198" t="s">
        <v>272</v>
      </c>
      <c r="B56" s="220">
        <v>5679</v>
      </c>
      <c r="C56" s="220">
        <v>24227</v>
      </c>
      <c r="D56" s="220">
        <v>29490</v>
      </c>
      <c r="E56" s="220">
        <v>10719</v>
      </c>
      <c r="F56" s="221">
        <v>10719</v>
      </c>
      <c r="G56" s="220">
        <v>13208</v>
      </c>
      <c r="H56" s="220">
        <v>22756</v>
      </c>
      <c r="I56" s="220">
        <v>27914</v>
      </c>
      <c r="J56" s="220">
        <v>12653</v>
      </c>
      <c r="K56" s="221">
        <v>12653</v>
      </c>
      <c r="L56" s="220">
        <v>14936</v>
      </c>
      <c r="M56" s="220">
        <v>21574</v>
      </c>
      <c r="N56" s="220">
        <v>29883</v>
      </c>
      <c r="O56" s="220">
        <v>14392</v>
      </c>
      <c r="P56" s="221">
        <v>14392</v>
      </c>
      <c r="Q56" s="220">
        <v>6324</v>
      </c>
      <c r="R56" s="220">
        <v>52821</v>
      </c>
      <c r="S56" s="220">
        <v>57018</v>
      </c>
      <c r="T56" s="220">
        <v>15655</v>
      </c>
      <c r="U56" s="222">
        <v>15655</v>
      </c>
      <c r="V56" s="217">
        <v>7969.9128439506676</v>
      </c>
      <c r="W56" s="217">
        <v>21125.809729281347</v>
      </c>
      <c r="X56" s="217">
        <v>22548.358389226982</v>
      </c>
      <c r="Y56" s="217">
        <v>42477.063068588133</v>
      </c>
      <c r="Z56" s="218">
        <v>42477.063068588119</v>
      </c>
      <c r="AA56" s="218">
        <v>92293.685344256359</v>
      </c>
      <c r="AB56" s="218">
        <v>159096.90292756079</v>
      </c>
      <c r="AC56" s="218">
        <v>237142.40857983544</v>
      </c>
      <c r="AD56" s="218">
        <v>326148.05486161658</v>
      </c>
      <c r="AE56" s="218">
        <v>428133.37539867475</v>
      </c>
    </row>
    <row r="57" spans="1:31" x14ac:dyDescent="0.2">
      <c r="A57" s="192" t="s">
        <v>222</v>
      </c>
      <c r="B57" s="200">
        <v>4</v>
      </c>
      <c r="C57" s="200">
        <v>2</v>
      </c>
      <c r="D57" s="200">
        <v>3</v>
      </c>
      <c r="E57" s="200">
        <v>1</v>
      </c>
      <c r="F57" s="201">
        <v>1</v>
      </c>
      <c r="G57" s="200">
        <v>186</v>
      </c>
      <c r="H57" s="200">
        <v>2</v>
      </c>
      <c r="I57" s="200">
        <v>551</v>
      </c>
      <c r="J57" s="200">
        <v>0</v>
      </c>
      <c r="K57" s="201">
        <v>0</v>
      </c>
      <c r="L57" s="200">
        <v>0</v>
      </c>
      <c r="M57" s="200">
        <v>0</v>
      </c>
      <c r="N57" s="200">
        <v>261</v>
      </c>
      <c r="O57" s="200">
        <v>0</v>
      </c>
      <c r="P57" s="201">
        <v>0</v>
      </c>
      <c r="Q57" s="200">
        <v>0</v>
      </c>
      <c r="R57" s="200">
        <v>0</v>
      </c>
      <c r="S57" s="200">
        <v>0</v>
      </c>
      <c r="T57" s="200">
        <v>0</v>
      </c>
      <c r="U57" s="202">
        <v>0</v>
      </c>
      <c r="V57" s="203">
        <v>0</v>
      </c>
      <c r="W57" s="203">
        <v>0</v>
      </c>
      <c r="X57" s="203">
        <v>0</v>
      </c>
      <c r="Y57" s="203">
        <v>0</v>
      </c>
      <c r="Z57" s="204">
        <v>0</v>
      </c>
      <c r="AA57" s="204">
        <v>0</v>
      </c>
      <c r="AB57" s="204">
        <v>0</v>
      </c>
      <c r="AC57" s="204">
        <v>0</v>
      </c>
      <c r="AD57" s="204">
        <v>0</v>
      </c>
      <c r="AE57" s="204">
        <v>0</v>
      </c>
    </row>
    <row r="58" spans="1:31" x14ac:dyDescent="0.2">
      <c r="A58" s="198" t="s">
        <v>223</v>
      </c>
      <c r="B58" s="220">
        <v>5683</v>
      </c>
      <c r="C58" s="220">
        <v>24229</v>
      </c>
      <c r="D58" s="220">
        <v>29493</v>
      </c>
      <c r="E58" s="220">
        <v>10720</v>
      </c>
      <c r="F58" s="221">
        <v>10720</v>
      </c>
      <c r="G58" s="220">
        <v>13394</v>
      </c>
      <c r="H58" s="220">
        <v>22758</v>
      </c>
      <c r="I58" s="220">
        <v>28465</v>
      </c>
      <c r="J58" s="220">
        <v>12653</v>
      </c>
      <c r="K58" s="221">
        <v>12653</v>
      </c>
      <c r="L58" s="220">
        <v>14936</v>
      </c>
      <c r="M58" s="220">
        <v>21574</v>
      </c>
      <c r="N58" s="220">
        <v>30144</v>
      </c>
      <c r="O58" s="220">
        <v>14392</v>
      </c>
      <c r="P58" s="221">
        <v>14392</v>
      </c>
      <c r="Q58" s="220">
        <v>6324</v>
      </c>
      <c r="R58" s="220">
        <v>52821</v>
      </c>
      <c r="S58" s="220">
        <v>57018</v>
      </c>
      <c r="T58" s="220">
        <v>15655</v>
      </c>
      <c r="U58" s="222">
        <v>15655</v>
      </c>
      <c r="V58" s="217">
        <v>7969.9128439506676</v>
      </c>
      <c r="W58" s="217">
        <v>21125.809729281347</v>
      </c>
      <c r="X58" s="217">
        <v>22548.358389226982</v>
      </c>
      <c r="Y58" s="217">
        <v>42477.063068588133</v>
      </c>
      <c r="Z58" s="218">
        <v>42477.063068588119</v>
      </c>
      <c r="AA58" s="218">
        <v>92293.685344256359</v>
      </c>
      <c r="AB58" s="218">
        <v>159096.90292756079</v>
      </c>
      <c r="AC58" s="218">
        <v>237142.40857983544</v>
      </c>
      <c r="AD58" s="218">
        <v>326148.05486161658</v>
      </c>
      <c r="AE58" s="218">
        <v>428133.37539867475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7CC9-E785-104C-968B-B0C8DEE1B9A2}">
  <dimension ref="A1"/>
  <sheetViews>
    <sheetView workbookViewId="0">
      <selection activeCell="K24" sqref="K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Revenue Build</vt:lpstr>
      <vt:lpstr>Cost Build</vt:lpstr>
      <vt:lpstr>Income Statement</vt:lpstr>
      <vt:lpstr>DCF</vt:lpstr>
      <vt:lpstr>Balance Sheet</vt:lpstr>
      <vt:lpstr>CFS</vt:lpstr>
      <vt:lpstr>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ar4657</dc:creator>
  <cp:lastModifiedBy>ar4657</cp:lastModifiedBy>
  <dcterms:created xsi:type="dcterms:W3CDTF">2025-04-20T21:57:09Z</dcterms:created>
  <dcterms:modified xsi:type="dcterms:W3CDTF">2025-04-21T00:01:21Z</dcterms:modified>
</cp:coreProperties>
</file>