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W:\Common\Invoice\"/>
    </mc:Choice>
  </mc:AlternateContent>
  <xr:revisionPtr revIDLastSave="0" documentId="13_ncr:1_{5164F544-6CE7-476F-9F7E-448F7798829F}" xr6:coauthVersionLast="45" xr6:coauthVersionMax="45" xr10:uidLastSave="{00000000-0000-0000-0000-000000000000}"/>
  <bookViews>
    <workbookView xWindow="-120" yWindow="-120" windowWidth="20730" windowHeight="11160" tabRatio="450" activeTab="1" xr2:uid="{00000000-000D-0000-FFFF-FFFF00000000}"/>
  </bookViews>
  <sheets>
    <sheet name="СЧЕТ-ФАКТУРА" sheetId="1" r:id="rId1"/>
    <sheet name="СП 1" sheetId="20" r:id="rId2"/>
    <sheet name="СП2" sheetId="29" r:id="rId3"/>
    <sheet name="Лист1" sheetId="28" state="hidden" r:id="rId4"/>
  </sheets>
  <definedNames>
    <definedName name="_xlnm._FilterDatabase" localSheetId="1" hidden="1">'СП 1'!$B$19:$C$19</definedName>
    <definedName name="ПР">Лист1!$D$5:$G$49</definedName>
  </definedNames>
  <calcPr calcId="18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20" l="1"/>
  <c r="J16" i="20"/>
  <c r="I17" i="20" l="1"/>
  <c r="G17" i="20"/>
  <c r="G18" i="20"/>
  <c r="F18" i="20"/>
  <c r="J18" i="20" s="1"/>
  <c r="K18" i="20" s="1"/>
  <c r="E17" i="20"/>
  <c r="E18" i="20"/>
  <c r="J17" i="20" l="1"/>
  <c r="K17" i="20" s="1"/>
  <c r="H19" i="20"/>
  <c r="E19" i="20" l="1"/>
  <c r="C19" i="20"/>
  <c r="I18" i="20"/>
  <c r="I16" i="20"/>
  <c r="B19" i="1" l="1"/>
  <c r="G26" i="1"/>
  <c r="G27" i="1"/>
  <c r="H29" i="29" l="1"/>
  <c r="J29" i="29" s="1"/>
  <c r="G29" i="29"/>
  <c r="F29" i="29"/>
  <c r="E29" i="29"/>
  <c r="J28" i="29"/>
  <c r="H28" i="29"/>
  <c r="G28" i="29"/>
  <c r="F28" i="29"/>
  <c r="E28" i="29"/>
  <c r="H27" i="29"/>
  <c r="J27" i="29" s="1"/>
  <c r="G27" i="29"/>
  <c r="F27" i="29"/>
  <c r="E27" i="29"/>
  <c r="H26" i="29"/>
  <c r="J26" i="29" s="1"/>
  <c r="G26" i="29"/>
  <c r="F26" i="29"/>
  <c r="E26" i="29"/>
  <c r="H25" i="29"/>
  <c r="J25" i="29" s="1"/>
  <c r="G25" i="29"/>
  <c r="F25" i="29"/>
  <c r="E25" i="29"/>
  <c r="J24" i="29"/>
  <c r="H24" i="29"/>
  <c r="G24" i="29"/>
  <c r="F24" i="29"/>
  <c r="E24" i="29"/>
  <c r="H20" i="29"/>
  <c r="J20" i="29" s="1"/>
  <c r="G20" i="29"/>
  <c r="F20" i="29"/>
  <c r="E20" i="29"/>
  <c r="H19" i="29"/>
  <c r="J19" i="29" s="1"/>
  <c r="G19" i="29"/>
  <c r="F19" i="29"/>
  <c r="E19" i="29"/>
  <c r="K25" i="29" l="1"/>
  <c r="L25" i="29" s="1"/>
  <c r="K26" i="29"/>
  <c r="L26" i="29" s="1"/>
  <c r="K29" i="29"/>
  <c r="L29" i="29" s="1"/>
  <c r="K19" i="29"/>
  <c r="L19" i="29" s="1"/>
  <c r="K24" i="29"/>
  <c r="L24" i="29" s="1"/>
  <c r="K27" i="29"/>
  <c r="L27" i="29" s="1"/>
  <c r="K28" i="29"/>
  <c r="L28" i="29" s="1"/>
  <c r="K20" i="29"/>
  <c r="L20" i="29" s="1"/>
  <c r="H21" i="29"/>
  <c r="J21" i="29" s="1"/>
  <c r="G21" i="29"/>
  <c r="F21" i="29"/>
  <c r="E21" i="29"/>
  <c r="H18" i="29"/>
  <c r="J18" i="29" s="1"/>
  <c r="G18" i="29"/>
  <c r="F18" i="29"/>
  <c r="E18" i="29"/>
  <c r="I40" i="29"/>
  <c r="H39" i="29"/>
  <c r="J39" i="29" s="1"/>
  <c r="G39" i="29"/>
  <c r="F39" i="29"/>
  <c r="E39" i="29"/>
  <c r="J38" i="29"/>
  <c r="J40" i="29" s="1"/>
  <c r="H38" i="29"/>
  <c r="G38" i="29"/>
  <c r="F38" i="29"/>
  <c r="E38" i="29"/>
  <c r="I36" i="29"/>
  <c r="J35" i="29"/>
  <c r="H35" i="29"/>
  <c r="G35" i="29"/>
  <c r="F35" i="29"/>
  <c r="E35" i="29"/>
  <c r="H34" i="29"/>
  <c r="J34" i="29" s="1"/>
  <c r="G34" i="29"/>
  <c r="F34" i="29"/>
  <c r="E34" i="29"/>
  <c r="J33" i="29"/>
  <c r="H33" i="29"/>
  <c r="G33" i="29"/>
  <c r="F33" i="29"/>
  <c r="E33" i="29"/>
  <c r="H32" i="29"/>
  <c r="J32" i="29" s="1"/>
  <c r="G32" i="29"/>
  <c r="F32" i="29"/>
  <c r="E32" i="29"/>
  <c r="I22" i="29"/>
  <c r="H17" i="29"/>
  <c r="J17" i="29" s="1"/>
  <c r="G17" i="29"/>
  <c r="F17" i="29"/>
  <c r="E17" i="29"/>
  <c r="H16" i="29"/>
  <c r="J16" i="29" s="1"/>
  <c r="G16" i="29"/>
  <c r="F16" i="29"/>
  <c r="E16" i="29"/>
  <c r="K16" i="29" l="1"/>
  <c r="L16" i="29" s="1"/>
  <c r="K17" i="29"/>
  <c r="L17" i="29" s="1"/>
  <c r="K18" i="29"/>
  <c r="L18" i="29" s="1"/>
  <c r="I41" i="29"/>
  <c r="J30" i="29"/>
  <c r="K21" i="29"/>
  <c r="L21" i="29" s="1"/>
  <c r="K34" i="29"/>
  <c r="L34" i="29" s="1"/>
  <c r="K35" i="29"/>
  <c r="L35" i="29" s="1"/>
  <c r="K38" i="29"/>
  <c r="L38" i="29" s="1"/>
  <c r="K32" i="29"/>
  <c r="L32" i="29" s="1"/>
  <c r="J36" i="29"/>
  <c r="K33" i="29"/>
  <c r="L33" i="29" s="1"/>
  <c r="K39" i="29"/>
  <c r="L39" i="29" s="1"/>
  <c r="L40" i="29" s="1"/>
  <c r="J22" i="29"/>
  <c r="L22" i="29" l="1"/>
  <c r="L30" i="29"/>
  <c r="J41" i="29"/>
  <c r="L36" i="29"/>
  <c r="L41" i="29" l="1"/>
  <c r="F40" i="29" s="1"/>
  <c r="C22" i="29" l="1"/>
  <c r="F36" i="29"/>
  <c r="C36" i="29"/>
  <c r="F22" i="29"/>
  <c r="C30" i="29"/>
  <c r="F30" i="29"/>
  <c r="C41" i="29" l="1"/>
  <c r="F41" i="29"/>
  <c r="I19" i="20"/>
  <c r="F24" i="1" s="1"/>
  <c r="G16" i="20"/>
  <c r="F16" i="20"/>
  <c r="E16" i="20"/>
  <c r="K16" i="20" l="1"/>
  <c r="K19" i="20" l="1"/>
  <c r="O2" i="28"/>
  <c r="D31" i="1"/>
  <c r="F25" i="1" l="1"/>
  <c r="H27" i="1" s="1"/>
  <c r="G24" i="1"/>
  <c r="G25" i="1" s="1"/>
  <c r="I27" i="1" s="1"/>
  <c r="F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Кластеры</author>
  </authors>
  <commentList>
    <comment ref="A1" authorId="0" shapeId="0" xr:uid="{00000000-0006-0000-0100-000001000000}">
      <text>
        <r>
          <rPr>
            <b/>
            <sz val="9"/>
            <color indexed="81"/>
            <rFont val="Cambria"/>
            <family val="1"/>
            <charset val="204"/>
            <scheme val="major"/>
          </rPr>
          <t>Для того, чтобы был стандартный припуск введите в эту ячейку значение "1"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Кластеры</author>
  </authors>
  <commentList>
    <comment ref="A1" authorId="0" shapeId="0" xr:uid="{00000000-0006-0000-0200-000001000000}">
      <text>
        <r>
          <rPr>
            <b/>
            <sz val="9"/>
            <color indexed="81"/>
            <rFont val="Cambria"/>
            <family val="1"/>
            <charset val="204"/>
            <scheme val="major"/>
          </rPr>
          <t>Для того, чтобы был стандартный припуск введите в эту ячейку значение "1"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1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Вес БРУТТО можно вводить и в эту ячейку
</t>
        </r>
      </text>
    </comment>
  </commentList>
</comments>
</file>

<file path=xl/sharedStrings.xml><?xml version="1.0" encoding="utf-8"?>
<sst xmlns="http://schemas.openxmlformats.org/spreadsheetml/2006/main" count="187" uniqueCount="118">
  <si>
    <t>куб.м</t>
  </si>
  <si>
    <t>Итого к оплате</t>
  </si>
  <si>
    <t>Адрес</t>
  </si>
  <si>
    <t>НАИМЕНОВАНИЕ ТОВАРА</t>
  </si>
  <si>
    <t>СОРТ</t>
  </si>
  <si>
    <t>от</t>
  </si>
  <si>
    <t>Вагон №</t>
  </si>
  <si>
    <t>Кол-во шт</t>
  </si>
  <si>
    <t>Пиломатериал х/п сосна</t>
  </si>
  <si>
    <t>Пиломатериал х/п лиственница</t>
  </si>
  <si>
    <t>сосна</t>
  </si>
  <si>
    <t>сорт 1-4</t>
  </si>
  <si>
    <t>ВСЕГО</t>
  </si>
  <si>
    <t>ОБЪЕМ М3 без припуска</t>
  </si>
  <si>
    <t>Объем м3 с припуском</t>
  </si>
  <si>
    <t>объем 1шт м3</t>
  </si>
  <si>
    <t>без припуска</t>
  </si>
  <si>
    <t>объем 1 шт м3</t>
  </si>
  <si>
    <t>с припуском</t>
  </si>
  <si>
    <t>1-2</t>
  </si>
  <si>
    <t xml:space="preserve">толщина(мм)  </t>
  </si>
  <si>
    <t>ширина(мм)</t>
  </si>
  <si>
    <t>ДЛИНА (мм)</t>
  </si>
  <si>
    <t>ВЕС БРУТТО</t>
  </si>
  <si>
    <t>ВЕС НЕТТО</t>
  </si>
  <si>
    <t xml:space="preserve">ВЕС БРУТТО </t>
  </si>
  <si>
    <t>КГ</t>
  </si>
  <si>
    <t>Толщина с припуском (мм)</t>
  </si>
  <si>
    <t>Ширина с припуском (мм)</t>
  </si>
  <si>
    <t>Длина с припуском (мм)</t>
  </si>
  <si>
    <t>Таблица усушки</t>
  </si>
  <si>
    <t>листвяк</t>
  </si>
  <si>
    <t>Вагон:</t>
  </si>
  <si>
    <t>Право одной подписи</t>
  </si>
  <si>
    <t>итого вес реквизита:</t>
  </si>
  <si>
    <t>Мастер погрузки:</t>
  </si>
  <si>
    <t>1-4</t>
  </si>
  <si>
    <t xml:space="preserve">Грузополучатель </t>
  </si>
  <si>
    <t>ГОСТ  8486-86</t>
  </si>
  <si>
    <t>Цена в руб</t>
  </si>
  <si>
    <t xml:space="preserve">СУММА в руб   </t>
  </si>
  <si>
    <t xml:space="preserve">     пиломатериал обрезной хвойных пород </t>
  </si>
  <si>
    <t>Условия поставки: DAР ст. Забайкальск</t>
  </si>
  <si>
    <t>ВЕС</t>
  </si>
  <si>
    <t>РЕКВИЗИТЫ:</t>
  </si>
  <si>
    <t xml:space="preserve">вагонстойка - </t>
  </si>
  <si>
    <t xml:space="preserve"> весом -  500 кг</t>
  </si>
  <si>
    <t>прокладка -</t>
  </si>
  <si>
    <t xml:space="preserve"> весом - 340 кг</t>
  </si>
  <si>
    <t>проволка -</t>
  </si>
  <si>
    <t>150кг</t>
  </si>
  <si>
    <t>гвозди -</t>
  </si>
  <si>
    <t>10кг</t>
  </si>
  <si>
    <t>итого ПИХТА</t>
  </si>
  <si>
    <t>итого сосна</t>
  </si>
  <si>
    <t>итого ель</t>
  </si>
  <si>
    <t xml:space="preserve"> </t>
  </si>
  <si>
    <t>Грузоотправитель: ИП Торопов В.Н.</t>
  </si>
  <si>
    <t>Станция отправления: ст. Нижнеудинск, ВСЖД</t>
  </si>
  <si>
    <t>/Торопов В.Н./</t>
  </si>
  <si>
    <t>итого лиственница 1-4 сорт</t>
  </si>
  <si>
    <t>СОСНА НТ 01 КОД ТОВАРА 4407119300</t>
  </si>
  <si>
    <t>ЛИСТВЕННИЦА  НТ 02 КОД ТОВАРА 4407199800</t>
  </si>
  <si>
    <t>ЕЛЬ НТ 03 КОД ТОВАРА 4407129800</t>
  </si>
  <si>
    <t>ПИХТА НТ 04 КОД ТОВАРА 4407129800</t>
  </si>
  <si>
    <t xml:space="preserve">Покупатель  </t>
  </si>
  <si>
    <t xml:space="preserve">                  СПЕЦИФИКАЦИЯ 40/2</t>
  </si>
  <si>
    <t>Грузополучатель: ООО Маньчжурская торговая компания  "ФЭНШЭН"</t>
  </si>
  <si>
    <t>Китай, АРВМ, г.Маньчжурия</t>
  </si>
  <si>
    <t>Адрес почтовый:665268,РФ, Иркутская область,</t>
  </si>
  <si>
    <t>г. Тулун, ул. Ленина 122-422.</t>
  </si>
  <si>
    <t>Маньчжурская экспортно-импортная</t>
  </si>
  <si>
    <r>
      <t xml:space="preserve">торговая компания с ОО </t>
    </r>
    <r>
      <rPr>
        <b/>
        <sz val="14"/>
        <rFont val="Times New Roman"/>
        <family val="1"/>
        <charset val="204"/>
      </rPr>
      <t>Матосэньюе"</t>
    </r>
  </si>
  <si>
    <t>Северный район, мкр.Июань, комплексное здание 1,</t>
  </si>
  <si>
    <t>1-й этаж торговое помещение №9.</t>
  </si>
  <si>
    <t>Контракт</t>
  </si>
  <si>
    <t>приложение</t>
  </si>
  <si>
    <t>Условия поставки</t>
  </si>
  <si>
    <t>ДАР ст. Забайкальск</t>
  </si>
  <si>
    <t xml:space="preserve">два щита- </t>
  </si>
  <si>
    <t>доска прижимная</t>
  </si>
  <si>
    <t>доска обшивочная</t>
  </si>
  <si>
    <t>брусок утолщенный</t>
  </si>
  <si>
    <t xml:space="preserve"> 250                 кг</t>
  </si>
  <si>
    <t xml:space="preserve"> 80                   кг</t>
  </si>
  <si>
    <t>кг</t>
  </si>
  <si>
    <t>вес брутто</t>
  </si>
  <si>
    <t>вес нетто</t>
  </si>
  <si>
    <t>Поставщик  ИП Петров Юрий Васильевич</t>
  </si>
  <si>
    <t>Адрес юридический:665247,Иркутская область,</t>
  </si>
  <si>
    <t>Тулунский р-н, д. Заусаева, пер. Железнодорожный 4-2.</t>
  </si>
  <si>
    <t>р/сч 40802840718090025715 Иркутское отделение № 8586</t>
  </si>
  <si>
    <t>ОАО "Сбербанк России"</t>
  </si>
  <si>
    <t>ИНН 381603041456</t>
  </si>
  <si>
    <t>КОД ОКПО 0183318994</t>
  </si>
  <si>
    <t>ОГРН 312381611500010</t>
  </si>
  <si>
    <t>Грузоотправитель: ИП ПЕТРОВ Ю.В.</t>
  </si>
  <si>
    <t>ГОСТ 8486-86</t>
  </si>
  <si>
    <t>№3 от 27.02.2020г</t>
  </si>
  <si>
    <t>MTSY-666 от 01.03.2019г</t>
  </si>
  <si>
    <t xml:space="preserve">      Пиломатериал х/п сосна сорт 1-4</t>
  </si>
  <si>
    <t xml:space="preserve">     пиломатериал обрезной хвойных  пород сосна</t>
  </si>
  <si>
    <t>ИП Петров Юрий Васильевич</t>
  </si>
  <si>
    <t>ИНВОЙС № 49 от  "07" апреля 2020г.</t>
  </si>
  <si>
    <t xml:space="preserve">Грузоотправитель: </t>
  </si>
  <si>
    <t>ООО "СОСНА СИБИРСКАЯ"</t>
  </si>
  <si>
    <t xml:space="preserve">Грузополучатель: </t>
  </si>
  <si>
    <t xml:space="preserve">Маньчжурская экспортно-импортная торговая компания с ОО "ХаньСю" </t>
  </si>
  <si>
    <t>Станция отправления:</t>
  </si>
  <si>
    <t xml:space="preserve"> ст. Худоеланская, ВСЖД</t>
  </si>
  <si>
    <t xml:space="preserve">Условия поставки: </t>
  </si>
  <si>
    <t>DAР ст. Забайкальск</t>
  </si>
  <si>
    <t>отправка:</t>
  </si>
  <si>
    <t xml:space="preserve">                  СПЕЦИФИКАЦИЯ 3/3</t>
  </si>
  <si>
    <t>/Орлова Р.П./</t>
  </si>
  <si>
    <t xml:space="preserve">толщина (мм)  </t>
  </si>
  <si>
    <t>ширина (мм)</t>
  </si>
  <si>
    <t>ДЛИНА  (мм)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</si>
</sst>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\ mmmm\,\ yyyy"/>
    <numFmt numFmtId="166" formatCode="#,##0.00&quot;р.&quot;"/>
    <numFmt numFmtId="167" formatCode="0.000000"/>
  </numFmts>
  <fonts count="68" x14ac:knownFonts="1">
    <font>
      <sz val="10"/>
      <name val="Arial Cyr"/>
      <charset val="204"/>
    </font>
    <font>
      <sz val="10"/>
      <name val="Arial Cyr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3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indexed="10"/>
      <name val="Times New Roman"/>
      <family val="1"/>
    </font>
    <font>
      <sz val="14"/>
      <color indexed="8"/>
      <name val="Times New Roman"/>
      <family val="1"/>
    </font>
    <font>
      <sz val="14"/>
      <name val="Arial Cyr"/>
      <charset val="204"/>
    </font>
    <font>
      <b/>
      <sz val="10"/>
      <name val="Arial Cyr"/>
      <charset val="204"/>
    </font>
    <font>
      <sz val="12"/>
      <color indexed="10"/>
      <name val="Times New Roman"/>
      <family val="1"/>
    </font>
    <font>
      <b/>
      <sz val="14"/>
      <name val="Arial Cyr"/>
      <charset val="204"/>
    </font>
    <font>
      <sz val="8"/>
      <color indexed="10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color theme="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indexed="8"/>
      <name val="Times New Roman"/>
      <family val="1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name val="Arial"/>
      <family val="2"/>
      <charset val="204"/>
    </font>
    <font>
      <sz val="9"/>
      <color indexed="8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name val="Tahoma"/>
      <family val="2"/>
      <charset val="204"/>
    </font>
    <font>
      <b/>
      <sz val="9"/>
      <color indexed="81"/>
      <name val="Cambria"/>
      <family val="1"/>
      <charset val="204"/>
      <scheme val="major"/>
    </font>
    <font>
      <b/>
      <sz val="12"/>
      <name val="Arial Cyr"/>
      <charset val="204"/>
    </font>
    <font>
      <b/>
      <sz val="16"/>
      <name val="Arial Cyr"/>
      <family val="2"/>
      <charset val="204"/>
    </font>
    <font>
      <b/>
      <sz val="14"/>
      <name val="Arial Cyr"/>
      <family val="2"/>
      <charset val="204"/>
    </font>
    <font>
      <sz val="16"/>
      <name val="Times New Roman"/>
      <family val="1"/>
    </font>
    <font>
      <b/>
      <sz val="11"/>
      <name val="Arial Cyr"/>
      <charset val="204"/>
    </font>
    <font>
      <sz val="14"/>
      <color indexed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  <charset val="204"/>
    </font>
    <font>
      <b/>
      <sz val="9"/>
      <name val="Times New Roman"/>
      <family val="1"/>
    </font>
    <font>
      <b/>
      <i/>
      <sz val="16"/>
      <name val="Arial Cyr"/>
      <charset val="204"/>
    </font>
    <font>
      <b/>
      <i/>
      <sz val="14"/>
      <name val="Arial Cyr"/>
      <charset val="204"/>
    </font>
    <font>
      <b/>
      <u/>
      <sz val="12"/>
      <name val="Arial Cyr"/>
      <charset val="204"/>
    </font>
    <font>
      <b/>
      <sz val="12"/>
      <color theme="1"/>
      <name val="Times New Roman"/>
      <family val="1"/>
    </font>
    <font>
      <sz val="12"/>
      <name val="Arial Cyr"/>
      <charset val="204"/>
    </font>
    <font>
      <b/>
      <sz val="12"/>
      <color theme="1"/>
      <name val="Arial Cyr"/>
      <charset val="204"/>
    </font>
    <font>
      <b/>
      <sz val="14"/>
      <color theme="1"/>
      <name val="Times New Roman"/>
      <family val="1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6"/>
      <color indexed="10"/>
      <name val="Times New Roman"/>
      <family val="1"/>
    </font>
    <font>
      <sz val="8"/>
      <color indexed="8"/>
      <name val="Times New Roman"/>
      <family val="1"/>
    </font>
    <font>
      <b/>
      <sz val="16"/>
      <color indexed="10"/>
      <name val="Times New Roman"/>
      <family val="1"/>
    </font>
    <font>
      <b/>
      <sz val="16"/>
      <name val="Arial Cyr"/>
      <charset val="204"/>
    </font>
    <font>
      <sz val="14"/>
      <color rgb="FF000000"/>
      <name val="Arial"/>
      <family val="2"/>
      <charset val="204"/>
    </font>
    <font>
      <b/>
      <u/>
      <sz val="14"/>
      <name val="Arial Cyr"/>
      <charset val="204"/>
    </font>
    <font>
      <b/>
      <sz val="14"/>
      <color rgb="FF000000"/>
      <name val="Arial"/>
      <family val="2"/>
      <charset val="204"/>
    </font>
    <font>
      <b/>
      <sz val="14"/>
      <color theme="1"/>
      <name val="Arial Cyr"/>
      <charset val="204"/>
    </font>
    <font>
      <b/>
      <sz val="16"/>
      <name val="Times New Roman"/>
      <family val="1"/>
    </font>
    <font>
      <b/>
      <sz val="1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2" fillId="0" borderId="0" xfId="0" applyFont="1"/>
    <xf numFmtId="0" fontId="7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" fillId="0" borderId="0" xfId="0" applyFont="1"/>
    <xf numFmtId="0" fontId="5" fillId="0" borderId="1" xfId="0" applyFont="1" applyBorder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64" fontId="26" fillId="0" borderId="0" xfId="0" applyNumberFormat="1" applyFont="1"/>
    <xf numFmtId="166" fontId="26" fillId="0" borderId="0" xfId="0" applyNumberFormat="1" applyFont="1"/>
    <xf numFmtId="0" fontId="27" fillId="0" borderId="0" xfId="0" applyFont="1"/>
    <xf numFmtId="0" fontId="18" fillId="0" borderId="1" xfId="0" applyNumberFormat="1" applyFont="1" applyBorder="1" applyAlignment="1" applyProtection="1">
      <alignment horizontal="center" vertical="top" wrapText="1"/>
      <protection locked="0"/>
    </xf>
    <xf numFmtId="0" fontId="28" fillId="0" borderId="1" xfId="0" applyNumberFormat="1" applyFont="1" applyBorder="1" applyAlignment="1" applyProtection="1">
      <alignment horizontal="center" vertical="top" wrapText="1"/>
      <protection locked="0"/>
    </xf>
    <xf numFmtId="0" fontId="16" fillId="0" borderId="4" xfId="0" applyNumberFormat="1" applyFont="1" applyBorder="1" applyAlignment="1" applyProtection="1">
      <alignment horizontal="center"/>
      <protection locked="0"/>
    </xf>
    <xf numFmtId="0" fontId="0" fillId="0" borderId="0" xfId="0" applyNumberFormat="1" applyProtection="1"/>
    <xf numFmtId="0" fontId="29" fillId="0" borderId="0" xfId="0" applyFont="1" applyProtection="1"/>
    <xf numFmtId="0" fontId="18" fillId="0" borderId="1" xfId="0" applyNumberFormat="1" applyFont="1" applyBorder="1" applyAlignment="1" applyProtection="1">
      <alignment horizontal="center" vertical="top" wrapText="1"/>
    </xf>
    <xf numFmtId="0" fontId="19" fillId="0" borderId="0" xfId="0" applyNumberFormat="1" applyFont="1" applyAlignment="1" applyProtection="1"/>
    <xf numFmtId="0" fontId="17" fillId="0" borderId="1" xfId="0" applyNumberFormat="1" applyFont="1" applyBorder="1" applyAlignment="1" applyProtection="1">
      <alignment horizontal="center" wrapText="1"/>
    </xf>
    <xf numFmtId="0" fontId="21" fillId="0" borderId="1" xfId="0" applyNumberFormat="1" applyFont="1" applyBorder="1" applyAlignment="1" applyProtection="1">
      <alignment horizontal="center"/>
    </xf>
    <xf numFmtId="0" fontId="17" fillId="0" borderId="4" xfId="0" applyNumberFormat="1" applyFont="1" applyBorder="1" applyAlignment="1" applyProtection="1">
      <alignment horizontal="center" wrapText="1"/>
    </xf>
    <xf numFmtId="0" fontId="21" fillId="0" borderId="5" xfId="0" applyNumberFormat="1" applyFont="1" applyBorder="1" applyAlignment="1" applyProtection="1">
      <alignment horizontal="center"/>
    </xf>
    <xf numFmtId="0" fontId="28" fillId="0" borderId="1" xfId="0" applyNumberFormat="1" applyFont="1" applyBorder="1" applyAlignment="1" applyProtection="1">
      <alignment horizontal="center" vertical="top" wrapText="1"/>
    </xf>
    <xf numFmtId="0" fontId="29" fillId="0" borderId="3" xfId="0" applyFont="1" applyBorder="1" applyAlignment="1" applyProtection="1">
      <alignment horizontal="center"/>
    </xf>
    <xf numFmtId="0" fontId="18" fillId="0" borderId="3" xfId="0" applyNumberFormat="1" applyFont="1" applyBorder="1" applyAlignment="1" applyProtection="1">
      <alignment vertical="top" wrapText="1"/>
    </xf>
    <xf numFmtId="0" fontId="32" fillId="0" borderId="4" xfId="0" applyNumberFormat="1" applyFont="1" applyBorder="1" applyAlignment="1" applyProtection="1">
      <alignment vertical="top" wrapText="1"/>
    </xf>
    <xf numFmtId="1" fontId="34" fillId="0" borderId="4" xfId="0" applyNumberFormat="1" applyFont="1" applyBorder="1" applyAlignment="1" applyProtection="1">
      <alignment horizontal="right" vertical="top" wrapText="1"/>
    </xf>
    <xf numFmtId="0" fontId="34" fillId="0" borderId="1" xfId="0" applyNumberFormat="1" applyFont="1" applyBorder="1" applyAlignment="1" applyProtection="1">
      <alignment horizontal="left" vertical="top" wrapText="1"/>
    </xf>
    <xf numFmtId="0" fontId="18" fillId="0" borderId="5" xfId="0" applyNumberFormat="1" applyFont="1" applyBorder="1" applyAlignment="1" applyProtection="1">
      <alignment horizontal="center" vertical="top" wrapText="1"/>
    </xf>
    <xf numFmtId="0" fontId="24" fillId="0" borderId="1" xfId="0" applyNumberFormat="1" applyFont="1" applyBorder="1" applyAlignment="1" applyProtection="1">
      <alignment horizontal="center" vertical="top" wrapText="1"/>
    </xf>
    <xf numFmtId="0" fontId="31" fillId="0" borderId="3" xfId="0" applyNumberFormat="1" applyFont="1" applyBorder="1" applyAlignment="1" applyProtection="1">
      <alignment vertical="top" wrapText="1"/>
    </xf>
    <xf numFmtId="1" fontId="33" fillId="0" borderId="4" xfId="0" applyNumberFormat="1" applyFont="1" applyBorder="1" applyAlignment="1" applyProtection="1">
      <alignment horizontal="right" vertical="top" wrapText="1"/>
    </xf>
    <xf numFmtId="0" fontId="35" fillId="0" borderId="4" xfId="0" applyNumberFormat="1" applyFont="1" applyBorder="1" applyProtection="1"/>
    <xf numFmtId="0" fontId="31" fillId="0" borderId="4" xfId="0" applyNumberFormat="1" applyFont="1" applyBorder="1" applyAlignment="1" applyProtection="1">
      <alignment vertical="top" wrapText="1"/>
    </xf>
    <xf numFmtId="0" fontId="35" fillId="0" borderId="5" xfId="0" applyNumberFormat="1" applyFont="1" applyBorder="1" applyProtection="1"/>
    <xf numFmtId="1" fontId="18" fillId="0" borderId="1" xfId="0" applyNumberFormat="1" applyFont="1" applyBorder="1" applyAlignment="1" applyProtection="1">
      <alignment horizontal="center" vertical="top" wrapText="1"/>
    </xf>
    <xf numFmtId="49" fontId="18" fillId="0" borderId="1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  <xf numFmtId="0" fontId="38" fillId="0" borderId="0" xfId="0" applyFont="1" applyBorder="1"/>
    <xf numFmtId="2" fontId="38" fillId="0" borderId="0" xfId="0" applyNumberFormat="1" applyFont="1" applyBorder="1"/>
    <xf numFmtId="0" fontId="37" fillId="0" borderId="0" xfId="0" applyFont="1" applyBorder="1" applyAlignment="1">
      <alignment vertical="center" wrapText="1"/>
    </xf>
    <xf numFmtId="0" fontId="37" fillId="0" borderId="0" xfId="0" applyNumberFormat="1" applyFont="1" applyBorder="1" applyAlignment="1">
      <alignment vertical="center" wrapText="1"/>
    </xf>
    <xf numFmtId="0" fontId="37" fillId="0" borderId="0" xfId="0" applyFont="1" applyBorder="1" applyAlignment="1">
      <alignment horizontal="center"/>
    </xf>
    <xf numFmtId="0" fontId="37" fillId="0" borderId="0" xfId="0" applyNumberFormat="1" applyFont="1" applyBorder="1" applyAlignment="1">
      <alignment horizontal="center"/>
    </xf>
    <xf numFmtId="164" fontId="30" fillId="0" borderId="1" xfId="0" applyNumberFormat="1" applyFont="1" applyBorder="1" applyAlignment="1" applyProtection="1">
      <alignment horizontal="center"/>
    </xf>
    <xf numFmtId="164" fontId="25" fillId="0" borderId="1" xfId="0" applyNumberFormat="1" applyFont="1" applyBorder="1" applyAlignment="1" applyProtection="1">
      <alignment horizontal="center" vertical="top" wrapText="1"/>
    </xf>
    <xf numFmtId="167" fontId="30" fillId="0" borderId="1" xfId="0" applyNumberFormat="1" applyFont="1" applyBorder="1" applyAlignment="1" applyProtection="1">
      <alignment horizontal="center"/>
    </xf>
    <xf numFmtId="167" fontId="29" fillId="0" borderId="1" xfId="0" applyNumberFormat="1" applyFont="1" applyBorder="1" applyAlignment="1" applyProtection="1">
      <alignment horizontal="center"/>
    </xf>
    <xf numFmtId="167" fontId="2" fillId="0" borderId="0" xfId="0" applyNumberFormat="1" applyFont="1"/>
    <xf numFmtId="0" fontId="18" fillId="0" borderId="0" xfId="0" applyNumberFormat="1" applyFont="1" applyBorder="1" applyAlignment="1" applyProtection="1">
      <alignment horizontal="center" vertical="top" wrapText="1"/>
    </xf>
    <xf numFmtId="0" fontId="18" fillId="0" borderId="5" xfId="0" applyNumberFormat="1" applyFont="1" applyBorder="1" applyAlignment="1" applyProtection="1">
      <alignment vertical="top" wrapText="1"/>
    </xf>
    <xf numFmtId="0" fontId="4" fillId="0" borderId="0" xfId="0" applyFont="1"/>
    <xf numFmtId="0" fontId="40" fillId="0" borderId="0" xfId="0" applyFont="1"/>
    <xf numFmtId="0" fontId="43" fillId="0" borderId="12" xfId="0" applyFont="1" applyBorder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5" fillId="0" borderId="0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19" fillId="0" borderId="0" xfId="0" applyFont="1" applyAlignment="1"/>
    <xf numFmtId="0" fontId="21" fillId="0" borderId="0" xfId="0" applyFont="1" applyBorder="1" applyAlignment="1">
      <alignment horizontal="center" vertical="top" wrapText="1"/>
    </xf>
    <xf numFmtId="0" fontId="53" fillId="0" borderId="0" xfId="0" applyFont="1"/>
    <xf numFmtId="0" fontId="54" fillId="0" borderId="0" xfId="0" applyFont="1"/>
    <xf numFmtId="164" fontId="56" fillId="0" borderId="1" xfId="0" applyNumberFormat="1" applyFont="1" applyBorder="1" applyAlignment="1" applyProtection="1">
      <alignment horizontal="center" vertical="top" wrapText="1"/>
    </xf>
    <xf numFmtId="167" fontId="57" fillId="0" borderId="1" xfId="0" applyNumberFormat="1" applyFont="1" applyBorder="1" applyAlignment="1" applyProtection="1">
      <alignment horizontal="center"/>
    </xf>
    <xf numFmtId="0" fontId="44" fillId="0" borderId="0" xfId="0" applyFont="1" applyAlignment="1">
      <alignment horizontal="left"/>
    </xf>
    <xf numFmtId="164" fontId="10" fillId="0" borderId="17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166" fontId="10" fillId="0" borderId="7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5" fillId="0" borderId="10" xfId="0" applyFont="1" applyBorder="1"/>
    <xf numFmtId="0" fontId="10" fillId="0" borderId="10" xfId="0" applyFont="1" applyBorder="1" applyAlignment="1">
      <alignment horizontal="center"/>
    </xf>
    <xf numFmtId="166" fontId="10" fillId="0" borderId="15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7" fontId="29" fillId="0" borderId="3" xfId="0" applyNumberFormat="1" applyFont="1" applyBorder="1" applyAlignment="1" applyProtection="1">
      <alignment horizontal="center"/>
    </xf>
    <xf numFmtId="164" fontId="18" fillId="0" borderId="1" xfId="0" applyNumberFormat="1" applyFont="1" applyBorder="1" applyAlignment="1" applyProtection="1">
      <alignment horizontal="center" vertical="top" wrapText="1"/>
    </xf>
    <xf numFmtId="164" fontId="45" fillId="0" borderId="1" xfId="0" applyNumberFormat="1" applyFont="1" applyBorder="1" applyAlignment="1" applyProtection="1">
      <alignment horizontal="center" vertical="top" wrapText="1"/>
    </xf>
    <xf numFmtId="167" fontId="19" fillId="0" borderId="1" xfId="0" applyNumberFormat="1" applyFont="1" applyBorder="1" applyAlignment="1" applyProtection="1">
      <alignment horizontal="center"/>
    </xf>
    <xf numFmtId="1" fontId="0" fillId="0" borderId="0" xfId="0" applyNumberFormat="1" applyProtection="1"/>
    <xf numFmtId="0" fontId="0" fillId="0" borderId="0" xfId="0" applyProtection="1"/>
    <xf numFmtId="0" fontId="18" fillId="0" borderId="1" xfId="0" applyFont="1" applyBorder="1" applyAlignment="1" applyProtection="1">
      <alignment horizontal="center" vertical="top" wrapText="1"/>
      <protection locked="0"/>
    </xf>
    <xf numFmtId="0" fontId="29" fillId="0" borderId="1" xfId="0" applyFont="1" applyBorder="1" applyAlignment="1" applyProtection="1">
      <alignment horizontal="center"/>
    </xf>
    <xf numFmtId="1" fontId="18" fillId="0" borderId="1" xfId="0" applyNumberFormat="1" applyFont="1" applyBorder="1" applyAlignment="1" applyProtection="1">
      <alignment horizontal="center" vertical="top" wrapText="1"/>
      <protection locked="0"/>
    </xf>
    <xf numFmtId="0" fontId="43" fillId="0" borderId="3" xfId="0" applyNumberFormat="1" applyFont="1" applyBorder="1" applyAlignment="1" applyProtection="1">
      <protection locked="0"/>
    </xf>
    <xf numFmtId="0" fontId="58" fillId="0" borderId="4" xfId="0" applyNumberFormat="1" applyFont="1" applyBorder="1" applyAlignment="1" applyProtection="1"/>
    <xf numFmtId="0" fontId="58" fillId="0" borderId="5" xfId="0" applyNumberFormat="1" applyFont="1" applyBorder="1" applyAlignment="1" applyProtection="1"/>
    <xf numFmtId="0" fontId="24" fillId="0" borderId="3" xfId="0" applyNumberFormat="1" applyFont="1" applyBorder="1" applyAlignment="1" applyProtection="1">
      <alignment horizontal="center" vertical="top" wrapText="1"/>
    </xf>
    <xf numFmtId="1" fontId="28" fillId="0" borderId="1" xfId="0" applyNumberFormat="1" applyFont="1" applyBorder="1" applyAlignment="1" applyProtection="1">
      <alignment horizontal="center" vertical="top" wrapText="1"/>
    </xf>
    <xf numFmtId="0" fontId="15" fillId="0" borderId="0" xfId="0" applyFont="1" applyAlignment="1">
      <alignment horizontal="left"/>
    </xf>
    <xf numFmtId="1" fontId="58" fillId="0" borderId="4" xfId="0" applyNumberFormat="1" applyFont="1" applyBorder="1" applyAlignment="1" applyProtection="1"/>
    <xf numFmtId="0" fontId="40" fillId="0" borderId="0" xfId="0" applyFont="1" applyAlignment="1">
      <alignment horizontal="center"/>
    </xf>
    <xf numFmtId="0" fontId="52" fillId="0" borderId="0" xfId="0" applyFont="1" applyBorder="1" applyAlignment="1">
      <alignment horizontal="center" vertical="top" wrapText="1"/>
    </xf>
    <xf numFmtId="0" fontId="50" fillId="0" borderId="0" xfId="0" applyFont="1" applyAlignment="1">
      <alignment horizontal="center"/>
    </xf>
    <xf numFmtId="165" fontId="51" fillId="0" borderId="0" xfId="0" applyNumberFormat="1" applyFont="1" applyAlignment="1">
      <alignment horizontal="center"/>
    </xf>
    <xf numFmtId="0" fontId="44" fillId="0" borderId="0" xfId="0" applyFont="1" applyAlignment="1">
      <alignment horizontal="right"/>
    </xf>
    <xf numFmtId="0" fontId="18" fillId="0" borderId="4" xfId="0" applyNumberFormat="1" applyFont="1" applyBorder="1" applyAlignment="1" applyProtection="1">
      <alignment horizontal="right" vertical="top" wrapText="1"/>
    </xf>
    <xf numFmtId="0" fontId="18" fillId="0" borderId="5" xfId="0" applyNumberFormat="1" applyFont="1" applyBorder="1" applyAlignment="1" applyProtection="1">
      <alignment horizontal="right" vertical="top" wrapText="1"/>
    </xf>
    <xf numFmtId="0" fontId="11" fillId="0" borderId="0" xfId="0" applyFont="1" applyAlignment="1">
      <alignment horizontal="left"/>
    </xf>
    <xf numFmtId="0" fontId="59" fillId="0" borderId="3" xfId="0" applyNumberFormat="1" applyFont="1" applyBorder="1" applyAlignment="1" applyProtection="1">
      <alignment vertical="top" wrapText="1"/>
    </xf>
    <xf numFmtId="1" fontId="18" fillId="0" borderId="4" xfId="0" applyNumberFormat="1" applyFont="1" applyBorder="1" applyAlignment="1" applyProtection="1">
      <alignment vertical="top" wrapText="1"/>
    </xf>
    <xf numFmtId="0" fontId="3" fillId="0" borderId="0" xfId="0" applyFont="1"/>
    <xf numFmtId="0" fontId="16" fillId="0" borderId="4" xfId="0" applyNumberFormat="1" applyFont="1" applyBorder="1" applyAlignment="1" applyProtection="1">
      <alignment horizontal="center"/>
      <protection locked="0"/>
    </xf>
    <xf numFmtId="0" fontId="60" fillId="0" borderId="5" xfId="0" applyNumberFormat="1" applyFont="1" applyBorder="1" applyAlignment="1" applyProtection="1"/>
    <xf numFmtId="0" fontId="20" fillId="0" borderId="1" xfId="0" applyNumberFormat="1" applyFont="1" applyBorder="1" applyAlignment="1" applyProtection="1">
      <alignment horizontal="center"/>
    </xf>
    <xf numFmtId="167" fontId="61" fillId="0" borderId="1" xfId="0" applyNumberFormat="1" applyFont="1" applyBorder="1" applyAlignment="1" applyProtection="1">
      <alignment horizontal="center"/>
    </xf>
    <xf numFmtId="0" fontId="20" fillId="0" borderId="0" xfId="0" applyFont="1"/>
    <xf numFmtId="0" fontId="11" fillId="0" borderId="0" xfId="0" applyFont="1" applyAlignment="1">
      <alignment horizontal="left" indent="3"/>
    </xf>
    <xf numFmtId="0" fontId="0" fillId="0" borderId="0" xfId="0"/>
    <xf numFmtId="0" fontId="6" fillId="0" borderId="0" xfId="0" applyFont="1"/>
    <xf numFmtId="0" fontId="9" fillId="0" borderId="0" xfId="0" applyFont="1"/>
    <xf numFmtId="0" fontId="46" fillId="0" borderId="0" xfId="0" applyFont="1"/>
    <xf numFmtId="0" fontId="15" fillId="0" borderId="0" xfId="0" applyFont="1"/>
    <xf numFmtId="0" fontId="16" fillId="0" borderId="0" xfId="0" applyFont="1"/>
    <xf numFmtId="0" fontId="0" fillId="0" borderId="0" xfId="0"/>
    <xf numFmtId="0" fontId="6" fillId="0" borderId="0" xfId="0" applyFont="1"/>
    <xf numFmtId="0" fontId="9" fillId="0" borderId="0" xfId="0" applyFont="1"/>
    <xf numFmtId="0" fontId="11" fillId="0" borderId="0" xfId="0" applyFont="1"/>
    <xf numFmtId="0" fontId="4" fillId="0" borderId="0" xfId="0" applyFont="1"/>
    <xf numFmtId="0" fontId="16" fillId="0" borderId="0" xfId="0" applyFont="1"/>
    <xf numFmtId="0" fontId="46" fillId="0" borderId="0" xfId="0" applyFont="1"/>
    <xf numFmtId="0" fontId="8" fillId="0" borderId="0" xfId="0" applyFont="1" applyAlignment="1">
      <alignment horizontal="left"/>
    </xf>
    <xf numFmtId="0" fontId="10" fillId="0" borderId="0" xfId="0" applyFont="1"/>
    <xf numFmtId="0" fontId="48" fillId="0" borderId="0" xfId="0" applyFont="1"/>
    <xf numFmtId="0" fontId="8" fillId="0" borderId="0" xfId="0" applyFont="1"/>
    <xf numFmtId="0" fontId="13" fillId="0" borderId="0" xfId="0" applyFont="1" applyAlignment="1"/>
    <xf numFmtId="0" fontId="4" fillId="0" borderId="2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19" fillId="0" borderId="0" xfId="0" applyNumberFormat="1" applyFont="1" applyProtection="1"/>
    <xf numFmtId="0" fontId="62" fillId="0" borderId="0" xfId="0" applyFont="1" applyProtection="1"/>
    <xf numFmtId="0" fontId="19" fillId="0" borderId="0" xfId="0" applyFont="1"/>
    <xf numFmtId="0" fontId="22" fillId="0" borderId="0" xfId="0" applyFont="1" applyAlignment="1">
      <alignment horizontal="center"/>
    </xf>
    <xf numFmtId="165" fontId="63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 wrapText="1"/>
    </xf>
    <xf numFmtId="0" fontId="16" fillId="0" borderId="12" xfId="0" applyFont="1" applyBorder="1" applyAlignment="1"/>
    <xf numFmtId="1" fontId="19" fillId="0" borderId="0" xfId="0" applyNumberFormat="1" applyFont="1" applyProtection="1"/>
    <xf numFmtId="0" fontId="19" fillId="0" borderId="0" xfId="0" applyFont="1" applyProtection="1"/>
    <xf numFmtId="164" fontId="64" fillId="0" borderId="1" xfId="0" applyNumberFormat="1" applyFont="1" applyBorder="1" applyAlignment="1" applyProtection="1">
      <alignment horizontal="center"/>
    </xf>
    <xf numFmtId="0" fontId="62" fillId="0" borderId="3" xfId="0" applyFont="1" applyBorder="1" applyAlignment="1" applyProtection="1">
      <alignment horizontal="center"/>
    </xf>
    <xf numFmtId="167" fontId="64" fillId="0" borderId="1" xfId="0" applyNumberFormat="1" applyFont="1" applyBorder="1" applyAlignment="1" applyProtection="1">
      <alignment horizontal="center"/>
    </xf>
    <xf numFmtId="167" fontId="62" fillId="0" borderId="3" xfId="0" applyNumberFormat="1" applyFont="1" applyBorder="1" applyAlignment="1" applyProtection="1">
      <alignment horizontal="center"/>
    </xf>
    <xf numFmtId="0" fontId="45" fillId="0" borderId="0" xfId="0" applyFont="1" applyBorder="1" applyAlignment="1">
      <alignment horizontal="center" vertical="top" wrapText="1"/>
    </xf>
    <xf numFmtId="0" fontId="55" fillId="0" borderId="0" xfId="0" applyFont="1" applyBorder="1" applyAlignment="1">
      <alignment horizontal="left" vertical="top" wrapText="1"/>
    </xf>
    <xf numFmtId="0" fontId="65" fillId="0" borderId="0" xfId="0" applyFont="1"/>
    <xf numFmtId="0" fontId="66" fillId="0" borderId="0" xfId="0" applyFont="1" applyAlignment="1">
      <alignment horizontal="left"/>
    </xf>
    <xf numFmtId="0" fontId="22" fillId="0" borderId="0" xfId="0" applyFont="1" applyAlignment="1"/>
    <xf numFmtId="0" fontId="42" fillId="0" borderId="0" xfId="0" applyFont="1" applyBorder="1" applyAlignment="1"/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11" fillId="0" borderId="18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0" fillId="0" borderId="18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55" fillId="0" borderId="0" xfId="0" applyFont="1" applyFill="1" applyBorder="1" applyAlignment="1">
      <alignment horizontal="center" vertical="top" wrapText="1"/>
    </xf>
    <xf numFmtId="0" fontId="42" fillId="0" borderId="0" xfId="0" applyFont="1" applyBorder="1" applyAlignment="1">
      <alignment horizontal="left"/>
    </xf>
    <xf numFmtId="0" fontId="18" fillId="0" borderId="3" xfId="0" applyFont="1" applyBorder="1" applyAlignment="1" applyProtection="1">
      <alignment horizontal="center" vertical="top" wrapText="1"/>
    </xf>
    <xf numFmtId="0" fontId="18" fillId="0" borderId="4" xfId="0" applyFont="1" applyBorder="1" applyAlignment="1" applyProtection="1">
      <alignment horizontal="center" vertical="top" wrapText="1"/>
    </xf>
    <xf numFmtId="0" fontId="18" fillId="0" borderId="5" xfId="0" applyFont="1" applyBorder="1" applyAlignment="1" applyProtection="1">
      <alignment horizontal="center" vertical="top" wrapText="1"/>
    </xf>
    <xf numFmtId="0" fontId="55" fillId="0" borderId="0" xfId="0" applyFont="1" applyBorder="1" applyAlignment="1">
      <alignment horizontal="left" vertical="top" wrapText="1"/>
    </xf>
    <xf numFmtId="0" fontId="22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65" fontId="63" fillId="0" borderId="0" xfId="0" applyNumberFormat="1" applyFont="1" applyAlignment="1">
      <alignment horizontal="center"/>
    </xf>
    <xf numFmtId="0" fontId="52" fillId="0" borderId="0" xfId="0" applyFont="1" applyBorder="1" applyAlignment="1">
      <alignment horizontal="center" vertical="top" wrapText="1"/>
    </xf>
    <xf numFmtId="0" fontId="40" fillId="0" borderId="0" xfId="0" applyFont="1" applyAlignment="1">
      <alignment horizontal="center"/>
    </xf>
    <xf numFmtId="0" fontId="18" fillId="0" borderId="3" xfId="0" applyNumberFormat="1" applyFont="1" applyBorder="1" applyAlignment="1" applyProtection="1">
      <alignment horizontal="left" vertical="top" wrapText="1"/>
      <protection locked="0"/>
    </xf>
    <xf numFmtId="0" fontId="18" fillId="0" borderId="4" xfId="0" applyNumberFormat="1" applyFont="1" applyBorder="1" applyAlignment="1" applyProtection="1">
      <alignment horizontal="left" vertical="top" wrapText="1"/>
      <protection locked="0"/>
    </xf>
    <xf numFmtId="0" fontId="18" fillId="0" borderId="5" xfId="0" applyNumberFormat="1" applyFont="1" applyBorder="1" applyAlignment="1" applyProtection="1">
      <alignment horizontal="left" vertical="top" wrapText="1"/>
      <protection locked="0"/>
    </xf>
    <xf numFmtId="0" fontId="20" fillId="0" borderId="8" xfId="0" applyNumberFormat="1" applyFont="1" applyBorder="1" applyAlignment="1" applyProtection="1">
      <alignment horizontal="center"/>
    </xf>
    <xf numFmtId="0" fontId="20" fillId="0" borderId="10" xfId="0" applyNumberFormat="1" applyFont="1" applyBorder="1" applyAlignment="1" applyProtection="1">
      <alignment horizontal="center"/>
    </xf>
    <xf numFmtId="0" fontId="41" fillId="0" borderId="0" xfId="0" applyFont="1" applyBorder="1" applyAlignment="1">
      <alignment horizontal="right"/>
    </xf>
    <xf numFmtId="0" fontId="17" fillId="0" borderId="13" xfId="0" applyNumberFormat="1" applyFont="1" applyBorder="1" applyAlignment="1" applyProtection="1">
      <alignment horizontal="center"/>
    </xf>
    <xf numFmtId="0" fontId="17" fillId="0" borderId="14" xfId="0" applyNumberFormat="1" applyFont="1" applyBorder="1" applyAlignment="1" applyProtection="1">
      <alignment horizontal="center"/>
    </xf>
    <xf numFmtId="0" fontId="17" fillId="0" borderId="11" xfId="0" applyNumberFormat="1" applyFont="1" applyBorder="1" applyAlignment="1" applyProtection="1">
      <alignment horizontal="center"/>
    </xf>
    <xf numFmtId="0" fontId="17" fillId="0" borderId="12" xfId="0" applyNumberFormat="1" applyFont="1" applyBorder="1" applyAlignment="1" applyProtection="1">
      <alignment horizontal="center"/>
    </xf>
    <xf numFmtId="0" fontId="17" fillId="0" borderId="8" xfId="0" applyNumberFormat="1" applyFont="1" applyBorder="1" applyAlignment="1" applyProtection="1">
      <alignment horizontal="center" wrapText="1"/>
    </xf>
    <xf numFmtId="0" fontId="17" fillId="0" borderId="10" xfId="0" applyNumberFormat="1" applyFont="1" applyBorder="1" applyAlignment="1" applyProtection="1">
      <alignment horizontal="center" wrapText="1"/>
    </xf>
    <xf numFmtId="0" fontId="17" fillId="0" borderId="8" xfId="0" applyNumberFormat="1" applyFont="1" applyBorder="1" applyAlignment="1" applyProtection="1">
      <alignment horizontal="center"/>
    </xf>
    <xf numFmtId="0" fontId="17" fillId="0" borderId="10" xfId="0" applyNumberFormat="1" applyFont="1" applyBorder="1" applyAlignment="1" applyProtection="1">
      <alignment horizontal="center"/>
    </xf>
    <xf numFmtId="0" fontId="23" fillId="0" borderId="8" xfId="0" applyNumberFormat="1" applyFont="1" applyBorder="1" applyAlignment="1" applyProtection="1">
      <alignment horizontal="center"/>
    </xf>
    <xf numFmtId="0" fontId="23" fillId="0" borderId="10" xfId="0" applyNumberFormat="1" applyFont="1" applyBorder="1" applyAlignment="1" applyProtection="1">
      <alignment horizontal="center"/>
    </xf>
    <xf numFmtId="0" fontId="44" fillId="0" borderId="0" xfId="0" applyFont="1" applyAlignment="1">
      <alignment horizontal="right"/>
    </xf>
    <xf numFmtId="0" fontId="49" fillId="0" borderId="0" xfId="0" applyFont="1" applyAlignment="1">
      <alignment horizontal="center"/>
    </xf>
    <xf numFmtId="165" fontId="51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6" fillId="0" borderId="13" xfId="0" applyNumberFormat="1" applyFont="1" applyBorder="1" applyAlignment="1" applyProtection="1">
      <alignment horizontal="center" wrapText="1"/>
    </xf>
    <xf numFmtId="0" fontId="6" fillId="0" borderId="11" xfId="0" applyNumberFormat="1" applyFont="1" applyBorder="1" applyAlignment="1" applyProtection="1">
      <alignment horizontal="center" wrapText="1"/>
    </xf>
    <xf numFmtId="0" fontId="6" fillId="0" borderId="8" xfId="0" applyNumberFormat="1" applyFont="1" applyBorder="1" applyAlignment="1" applyProtection="1">
      <alignment horizontal="center" wrapText="1"/>
    </xf>
    <xf numFmtId="0" fontId="6" fillId="0" borderId="1" xfId="0" applyNumberFormat="1" applyFont="1" applyBorder="1" applyAlignment="1" applyProtection="1">
      <alignment horizontal="center"/>
    </xf>
    <xf numFmtId="0" fontId="44" fillId="0" borderId="8" xfId="0" applyNumberFormat="1" applyFont="1" applyBorder="1" applyAlignment="1" applyProtection="1">
      <alignment horizontal="center"/>
    </xf>
    <xf numFmtId="0" fontId="6" fillId="0" borderId="14" xfId="0" applyNumberFormat="1" applyFont="1" applyBorder="1" applyAlignment="1" applyProtection="1">
      <alignment horizontal="center" wrapText="1"/>
    </xf>
    <xf numFmtId="0" fontId="6" fillId="0" borderId="12" xfId="0" applyNumberFormat="1" applyFont="1" applyBorder="1" applyAlignment="1" applyProtection="1">
      <alignment horizontal="center" wrapText="1"/>
    </xf>
    <xf numFmtId="0" fontId="6" fillId="0" borderId="10" xfId="0" applyNumberFormat="1" applyFont="1" applyBorder="1" applyAlignment="1" applyProtection="1">
      <alignment horizontal="center" wrapText="1"/>
    </xf>
    <xf numFmtId="0" fontId="6" fillId="0" borderId="5" xfId="0" applyNumberFormat="1" applyFont="1" applyBorder="1" applyAlignment="1" applyProtection="1">
      <alignment horizontal="center"/>
    </xf>
    <xf numFmtId="0" fontId="44" fillId="0" borderId="10" xfId="0" applyNumberFormat="1" applyFont="1" applyBorder="1" applyAlignment="1" applyProtection="1">
      <alignment horizontal="center"/>
    </xf>
    <xf numFmtId="0" fontId="15" fillId="0" borderId="0" xfId="0" applyFont="1" applyAlignment="1">
      <alignment horizontal="left"/>
    </xf>
    <xf numFmtId="0" fontId="6" fillId="0" borderId="27" xfId="0" applyNumberFormat="1" applyFont="1" applyBorder="1" applyAlignment="1" applyProtection="1">
      <alignment horizontal="center" wrapText="1"/>
    </xf>
    <xf numFmtId="0" fontId="6" fillId="0" borderId="26" xfId="0" applyNumberFormat="1" applyFont="1" applyBorder="1" applyAlignment="1" applyProtection="1">
      <alignment horizontal="center" wrapText="1"/>
    </xf>
    <xf numFmtId="167" fontId="19" fillId="0" borderId="0" xfId="0" applyNumberFormat="1" applyFont="1" applyProtection="1"/>
  </cellXfs>
  <cellStyles count="1">
    <cellStyle name="Обычный" xfId="0" builtinId="0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J34"/>
  <sheetViews>
    <sheetView topLeftCell="A19" zoomScaleNormal="100" workbookViewId="0">
      <selection activeCell="E37" sqref="E37"/>
    </sheetView>
  </sheetViews>
  <sheetFormatPr defaultRowHeight="16.5" x14ac:dyDescent="0.25"/>
  <cols>
    <col min="1" max="1" width="26.85546875" style="1" customWidth="1"/>
    <col min="2" max="2" width="48.28515625" style="1" customWidth="1"/>
    <col min="3" max="3" width="10.140625" style="1" customWidth="1"/>
    <col min="4" max="4" width="15.7109375" style="1" hidden="1" customWidth="1"/>
    <col min="5" max="5" width="15.42578125" style="1" customWidth="1"/>
    <col min="6" max="6" width="14.85546875" style="1" customWidth="1"/>
    <col min="7" max="7" width="21.7109375" style="1" customWidth="1"/>
    <col min="8" max="8" width="12.28515625" style="1" customWidth="1"/>
    <col min="9" max="9" width="14.42578125" style="1" customWidth="1"/>
    <col min="10" max="16384" width="9.140625" style="1"/>
  </cols>
  <sheetData>
    <row r="2" spans="1:10" x14ac:dyDescent="0.25">
      <c r="C2" s="165"/>
      <c r="D2" s="165"/>
      <c r="E2" s="165"/>
      <c r="F2" s="165"/>
      <c r="G2" s="165"/>
    </row>
    <row r="3" spans="1:10" ht="22.5" x14ac:dyDescent="0.3">
      <c r="B3" s="189" t="s">
        <v>103</v>
      </c>
      <c r="C3" s="189"/>
      <c r="D3" s="189"/>
      <c r="E3" s="189"/>
      <c r="F3" s="189"/>
      <c r="G3" s="189"/>
      <c r="H3" s="63"/>
    </row>
    <row r="4" spans="1:10" ht="16.899999999999999" customHeight="1" x14ac:dyDescent="0.3">
      <c r="B4" s="63"/>
      <c r="C4" s="63"/>
      <c r="D4" s="63"/>
      <c r="E4" s="62"/>
      <c r="F4" s="67"/>
      <c r="G4" s="63"/>
      <c r="H4" s="63"/>
    </row>
    <row r="5" spans="1:10" ht="18.75" x14ac:dyDescent="0.3">
      <c r="A5" s="128" t="s">
        <v>88</v>
      </c>
      <c r="B5" s="126"/>
      <c r="C5" s="126"/>
      <c r="D5" s="126"/>
      <c r="E5" s="59"/>
      <c r="F5" s="134"/>
      <c r="G5" s="137" t="s">
        <v>65</v>
      </c>
      <c r="H5" s="135" t="s">
        <v>71</v>
      </c>
      <c r="I5" s="136"/>
      <c r="J5" s="130"/>
    </row>
    <row r="6" spans="1:10" ht="18.75" x14ac:dyDescent="0.3">
      <c r="A6" s="128" t="s">
        <v>89</v>
      </c>
      <c r="B6" s="127"/>
      <c r="C6" s="124"/>
      <c r="D6" s="126"/>
      <c r="E6" s="3"/>
      <c r="F6" s="132"/>
      <c r="G6" s="131" t="s">
        <v>72</v>
      </c>
      <c r="H6" s="135"/>
      <c r="I6" s="136"/>
      <c r="J6" s="130"/>
    </row>
    <row r="7" spans="1:10" ht="18.75" x14ac:dyDescent="0.3">
      <c r="A7" s="129" t="s">
        <v>90</v>
      </c>
      <c r="B7" s="127"/>
      <c r="C7" s="126"/>
      <c r="D7" s="126"/>
      <c r="E7" s="3"/>
      <c r="F7" s="132"/>
      <c r="G7" s="140" t="s">
        <v>2</v>
      </c>
      <c r="H7" s="135" t="s">
        <v>68</v>
      </c>
      <c r="I7" s="136"/>
      <c r="J7" s="130"/>
    </row>
    <row r="8" spans="1:10" ht="18.75" x14ac:dyDescent="0.3">
      <c r="A8" s="125" t="s">
        <v>69</v>
      </c>
      <c r="B8" s="127"/>
      <c r="C8" s="126"/>
      <c r="D8" s="126"/>
      <c r="E8" s="3"/>
      <c r="F8" s="132"/>
      <c r="G8" s="135" t="s">
        <v>73</v>
      </c>
      <c r="H8" s="136"/>
      <c r="I8" s="136"/>
      <c r="J8" s="130"/>
    </row>
    <row r="9" spans="1:10" ht="19.5" customHeight="1" x14ac:dyDescent="0.3">
      <c r="A9" s="125" t="s">
        <v>70</v>
      </c>
      <c r="B9" s="126"/>
      <c r="C9" s="126"/>
      <c r="D9" s="126"/>
      <c r="E9" s="3"/>
      <c r="F9" s="132"/>
      <c r="G9" s="131" t="s">
        <v>74</v>
      </c>
      <c r="H9" s="131"/>
      <c r="I9" s="131"/>
      <c r="J9" s="130"/>
    </row>
    <row r="10" spans="1:10" ht="18.75" x14ac:dyDescent="0.3">
      <c r="A10" s="131" t="s">
        <v>91</v>
      </c>
      <c r="B10" s="132"/>
      <c r="C10" s="132"/>
      <c r="D10" s="132"/>
      <c r="E10" s="132"/>
      <c r="F10" s="132"/>
      <c r="G10" s="140" t="s">
        <v>75</v>
      </c>
      <c r="H10" s="133" t="s">
        <v>99</v>
      </c>
      <c r="I10" s="136"/>
      <c r="J10" s="130"/>
    </row>
    <row r="11" spans="1:10" ht="18.75" x14ac:dyDescent="0.3">
      <c r="A11" s="131" t="s">
        <v>92</v>
      </c>
      <c r="B11" s="132"/>
      <c r="C11" s="132"/>
      <c r="D11" s="132"/>
      <c r="E11" s="132"/>
      <c r="F11" s="132"/>
      <c r="G11" s="141" t="s">
        <v>76</v>
      </c>
      <c r="H11" s="133" t="s">
        <v>98</v>
      </c>
      <c r="I11" s="136"/>
      <c r="J11" s="130"/>
    </row>
    <row r="12" spans="1:10" ht="18.75" x14ac:dyDescent="0.3">
      <c r="A12" s="131" t="s">
        <v>93</v>
      </c>
      <c r="B12" s="132"/>
      <c r="C12" s="132"/>
      <c r="D12" s="132"/>
      <c r="E12" s="132"/>
      <c r="F12" s="132"/>
      <c r="G12" s="139" t="s">
        <v>37</v>
      </c>
      <c r="H12" s="135" t="s">
        <v>71</v>
      </c>
      <c r="I12" s="136"/>
      <c r="J12" s="130"/>
    </row>
    <row r="13" spans="1:10" ht="18.75" x14ac:dyDescent="0.3">
      <c r="A13" s="105" t="s">
        <v>94</v>
      </c>
      <c r="B13" s="105"/>
      <c r="C13" s="105"/>
      <c r="D13" s="132"/>
      <c r="E13" s="132"/>
      <c r="F13" s="132"/>
      <c r="G13" s="131" t="s">
        <v>72</v>
      </c>
      <c r="H13" s="135"/>
      <c r="I13" s="136"/>
      <c r="J13" s="130"/>
    </row>
    <row r="14" spans="1:10" ht="18.75" x14ac:dyDescent="0.3">
      <c r="A14" s="114"/>
      <c r="B14" s="105"/>
      <c r="C14" s="105"/>
      <c r="D14" s="132" t="s">
        <v>56</v>
      </c>
      <c r="E14" s="132"/>
      <c r="F14" s="123" t="s">
        <v>56</v>
      </c>
      <c r="G14" s="131" t="s">
        <v>77</v>
      </c>
      <c r="H14" s="138" t="s">
        <v>78</v>
      </c>
    </row>
    <row r="15" spans="1:10" ht="18.75" x14ac:dyDescent="0.3">
      <c r="A15" s="128" t="s">
        <v>95</v>
      </c>
      <c r="B15" s="132"/>
      <c r="C15" s="10"/>
      <c r="D15" s="132"/>
      <c r="E15" s="132"/>
      <c r="F15" s="140" t="s">
        <v>97</v>
      </c>
      <c r="G15" s="191" t="s">
        <v>56</v>
      </c>
      <c r="H15" s="191"/>
      <c r="I15" s="191"/>
    </row>
    <row r="16" spans="1:10" ht="18.75" x14ac:dyDescent="0.3">
      <c r="A16" s="234" t="s">
        <v>96</v>
      </c>
      <c r="B16" s="234"/>
      <c r="C16" s="132"/>
      <c r="D16" s="132"/>
      <c r="E16" s="132"/>
      <c r="F16" s="9"/>
      <c r="G16" s="135"/>
      <c r="H16" s="136"/>
    </row>
    <row r="17" spans="1:9" ht="18.75" x14ac:dyDescent="0.3">
      <c r="B17" s="68"/>
      <c r="C17" s="68"/>
      <c r="D17" s="69"/>
      <c r="E17" s="132"/>
      <c r="F17" s="128"/>
      <c r="G17" s="191"/>
      <c r="H17" s="191"/>
      <c r="I17" s="191"/>
    </row>
    <row r="18" spans="1:9" ht="18.75" x14ac:dyDescent="0.3">
      <c r="A18" s="134"/>
      <c r="B18" s="134"/>
      <c r="C18" s="134"/>
      <c r="D18" s="134"/>
      <c r="E18" s="188"/>
      <c r="F18" s="188"/>
      <c r="G18" s="134"/>
      <c r="H18" s="133"/>
    </row>
    <row r="19" spans="1:9" ht="20.25" x14ac:dyDescent="0.3">
      <c r="A19" s="12" t="s">
        <v>6</v>
      </c>
      <c r="B19" s="162">
        <f>SUM('СП 1'!C12:D12)</f>
        <v>91585828</v>
      </c>
      <c r="C19" s="117"/>
      <c r="D19" s="9" t="s">
        <v>6</v>
      </c>
      <c r="E19" s="7"/>
      <c r="F19" s="12"/>
      <c r="G19" s="117"/>
    </row>
    <row r="20" spans="1:9" x14ac:dyDescent="0.25">
      <c r="A20" s="9"/>
      <c r="B20" s="8"/>
      <c r="C20" s="117"/>
      <c r="D20" s="9"/>
      <c r="E20" s="13"/>
      <c r="F20" s="12"/>
      <c r="G20" s="117"/>
    </row>
    <row r="21" spans="1:9" ht="17.25" thickBot="1" x14ac:dyDescent="0.3">
      <c r="A21" s="9"/>
      <c r="B21" s="8"/>
      <c r="C21" s="117"/>
      <c r="D21" s="9"/>
      <c r="E21" s="13"/>
      <c r="F21" s="12"/>
      <c r="G21" s="117"/>
    </row>
    <row r="22" spans="1:9" s="2" customFormat="1" ht="20.25" customHeight="1" x14ac:dyDescent="0.3">
      <c r="B22" s="183" t="s">
        <v>3</v>
      </c>
      <c r="C22" s="184"/>
      <c r="D22" s="185"/>
      <c r="E22" s="172" t="s">
        <v>39</v>
      </c>
      <c r="F22" s="170" t="s">
        <v>0</v>
      </c>
      <c r="G22" s="186" t="s">
        <v>40</v>
      </c>
    </row>
    <row r="23" spans="1:9" s="2" customFormat="1" ht="14.25" customHeight="1" x14ac:dyDescent="0.3">
      <c r="B23" s="176"/>
      <c r="C23" s="177"/>
      <c r="D23" s="178"/>
      <c r="E23" s="173"/>
      <c r="F23" s="171"/>
      <c r="G23" s="187"/>
    </row>
    <row r="24" spans="1:9" s="2" customFormat="1" ht="20.25" x14ac:dyDescent="0.3">
      <c r="B24" s="174" t="s">
        <v>100</v>
      </c>
      <c r="C24" s="175"/>
      <c r="D24" s="70" t="s">
        <v>11</v>
      </c>
      <c r="E24" s="71">
        <v>8000</v>
      </c>
      <c r="F24" s="81">
        <f>SUM('СП 1'!I19)</f>
        <v>97.531000000000006</v>
      </c>
      <c r="G24" s="82">
        <f>SUM(E24*F24)</f>
        <v>780248</v>
      </c>
    </row>
    <row r="25" spans="1:9" s="2" customFormat="1" ht="20.25" customHeight="1" thickBot="1" x14ac:dyDescent="0.35">
      <c r="B25" s="166" t="s">
        <v>1</v>
      </c>
      <c r="C25" s="167"/>
      <c r="D25" s="72"/>
      <c r="E25" s="142"/>
      <c r="F25" s="90">
        <f>SUM(F24:F24)</f>
        <v>97.531000000000006</v>
      </c>
      <c r="G25" s="83">
        <f>SUM(G24:G24)</f>
        <v>780248</v>
      </c>
    </row>
    <row r="26" spans="1:9" s="2" customFormat="1" ht="20.25" hidden="1" customHeight="1" x14ac:dyDescent="0.3">
      <c r="B26" s="181" t="s">
        <v>8</v>
      </c>
      <c r="C26" s="182"/>
      <c r="D26" s="87" t="s">
        <v>11</v>
      </c>
      <c r="E26" s="88">
        <v>0</v>
      </c>
      <c r="F26" s="86">
        <v>0</v>
      </c>
      <c r="G26" s="89">
        <f>SUM(E26*F26)</f>
        <v>0</v>
      </c>
      <c r="H26" s="16"/>
      <c r="I26" s="16"/>
    </row>
    <row r="27" spans="1:9" s="2" customFormat="1" ht="20.25" hidden="1" customHeight="1" x14ac:dyDescent="0.3">
      <c r="B27" s="179" t="s">
        <v>9</v>
      </c>
      <c r="C27" s="180"/>
      <c r="D27" s="11" t="s">
        <v>11</v>
      </c>
      <c r="E27" s="4">
        <v>0</v>
      </c>
      <c r="F27" s="66">
        <v>0</v>
      </c>
      <c r="G27" s="84">
        <f>SUM(E27*F27)</f>
        <v>0</v>
      </c>
      <c r="H27" s="14">
        <f>F25+F27</f>
        <v>97.531000000000006</v>
      </c>
      <c r="I27" s="15">
        <f>G25+G27</f>
        <v>780248</v>
      </c>
    </row>
    <row r="28" spans="1:9" s="2" customFormat="1" ht="21" hidden="1" customHeight="1" thickBot="1" x14ac:dyDescent="0.35">
      <c r="B28" s="168" t="s">
        <v>1</v>
      </c>
      <c r="C28" s="169"/>
      <c r="D28" s="5"/>
      <c r="E28" s="6"/>
      <c r="F28" s="80" t="e">
        <f>F24+#REF!</f>
        <v>#REF!</v>
      </c>
      <c r="G28" s="85"/>
      <c r="H28" s="16"/>
      <c r="I28" s="16"/>
    </row>
    <row r="29" spans="1:9" ht="18.75" x14ac:dyDescent="0.3">
      <c r="B29" s="131"/>
      <c r="C29" s="131"/>
      <c r="D29" s="131"/>
      <c r="E29" s="131"/>
      <c r="F29" s="131"/>
      <c r="G29" s="131"/>
    </row>
    <row r="30" spans="1:9" ht="18.75" x14ac:dyDescent="0.3">
      <c r="B30" s="131"/>
      <c r="C30" s="131"/>
      <c r="D30" s="131"/>
      <c r="E30" s="131"/>
      <c r="F30" s="131"/>
      <c r="G30" s="131"/>
    </row>
    <row r="31" spans="1:9" ht="16.5" hidden="1" customHeight="1" x14ac:dyDescent="0.25">
      <c r="D31" s="56" t="e">
        <f>'СП 1'!#REF!+#REF!</f>
        <v>#REF!</v>
      </c>
    </row>
    <row r="33" spans="2:4" ht="18.75" x14ac:dyDescent="0.3">
      <c r="B33" s="134" t="s">
        <v>102</v>
      </c>
      <c r="C33" s="117"/>
      <c r="D33" s="117"/>
    </row>
    <row r="34" spans="2:4" x14ac:dyDescent="0.25">
      <c r="B34" s="190" t="s">
        <v>33</v>
      </c>
      <c r="C34" s="190"/>
      <c r="D34" s="190"/>
    </row>
  </sheetData>
  <mergeCells count="17">
    <mergeCell ref="B34:D34"/>
    <mergeCell ref="G15:I15"/>
    <mergeCell ref="G17:I17"/>
    <mergeCell ref="C2:G2"/>
    <mergeCell ref="B25:C25"/>
    <mergeCell ref="B28:C28"/>
    <mergeCell ref="F22:F23"/>
    <mergeCell ref="E22:E23"/>
    <mergeCell ref="B24:C24"/>
    <mergeCell ref="B23:D23"/>
    <mergeCell ref="B27:C27"/>
    <mergeCell ref="B26:C26"/>
    <mergeCell ref="B22:D22"/>
    <mergeCell ref="G22:G23"/>
    <mergeCell ref="E18:F18"/>
    <mergeCell ref="A16:B16"/>
    <mergeCell ref="B3:G3"/>
  </mergeCells>
  <phoneticPr fontId="0" type="noConversion"/>
  <conditionalFormatting sqref="A16">
    <cfRule type="containsText" dxfId="1" priority="1" operator="containsText" text="Грузоотправитель: ИП КОРОВИН В.С.">
      <formula>NOT(ISERROR(SEARCH("Грузоотправитель: ИП КОРОВИН В.С.",A16)))</formula>
    </cfRule>
  </conditionalFormatting>
  <pageMargins left="0.23622047244094491" right="7.874015748031496E-2" top="0.78740157480314965" bottom="0.98425196850393704" header="0.51181102362204722" footer="0.51181102362204722"/>
  <pageSetup paperSize="9" scale="80" orientation="landscape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 filterMode="1">
    <pageSetUpPr fitToPage="1"/>
  </sheetPr>
  <dimension ref="A1:M28"/>
  <sheetViews>
    <sheetView tabSelected="1" topLeftCell="E11" zoomScale="110" zoomScaleNormal="110" workbookViewId="0">
      <selection activeCell="J16" sqref="J16"/>
    </sheetView>
  </sheetViews>
  <sheetFormatPr defaultRowHeight="18" x14ac:dyDescent="0.25"/>
  <cols>
    <col min="1" max="1" width="19.28515625" style="144" customWidth="1"/>
    <col min="2" max="2" width="14.28515625" style="144" customWidth="1"/>
    <col min="3" max="3" width="15.42578125" style="144" customWidth="1"/>
    <col min="4" max="4" width="14" style="144" customWidth="1"/>
    <col min="5" max="7" width="18.28515625" style="144" customWidth="1"/>
    <col min="8" max="8" width="11.7109375" style="144" customWidth="1"/>
    <col min="9" max="10" width="19.5703125" style="144" customWidth="1"/>
    <col min="11" max="11" width="28.7109375" style="144" customWidth="1"/>
    <col min="12" max="12" width="16.28515625" style="144" bestFit="1" customWidth="1"/>
    <col min="13" max="16384" width="9.140625" style="144"/>
  </cols>
  <sheetData>
    <row r="1" spans="1:13" ht="18.75" x14ac:dyDescent="0.25">
      <c r="A1" s="144">
        <v>1</v>
      </c>
      <c r="B1" s="145"/>
      <c r="C1" s="145"/>
      <c r="D1" s="57"/>
      <c r="E1" s="23"/>
      <c r="F1" s="23"/>
      <c r="G1" s="23"/>
      <c r="H1" s="23"/>
    </row>
    <row r="2" spans="1:13" s="146" customFormat="1" ht="18.75" x14ac:dyDescent="0.3">
      <c r="C2" s="200" t="s">
        <v>113</v>
      </c>
      <c r="D2" s="200"/>
      <c r="E2" s="200"/>
      <c r="F2" s="200"/>
      <c r="G2" s="200"/>
      <c r="H2" s="200"/>
      <c r="I2" s="200"/>
      <c r="J2" s="200"/>
    </row>
    <row r="3" spans="1:13" s="146" customFormat="1" ht="18.75" x14ac:dyDescent="0.3">
      <c r="C3" s="200" t="s">
        <v>101</v>
      </c>
      <c r="D3" s="200"/>
      <c r="E3" s="200"/>
      <c r="F3" s="200"/>
      <c r="G3" s="200"/>
      <c r="H3" s="200"/>
      <c r="I3" s="200"/>
      <c r="J3" s="200"/>
    </row>
    <row r="4" spans="1:13" s="146" customFormat="1" ht="18.75" x14ac:dyDescent="0.3">
      <c r="C4" s="143"/>
      <c r="D4" s="143"/>
      <c r="E4" s="143"/>
      <c r="F4" s="143"/>
      <c r="G4" s="143"/>
      <c r="H4" s="143"/>
      <c r="I4" s="143"/>
      <c r="J4" s="143"/>
    </row>
    <row r="5" spans="1:13" s="146" customFormat="1" x14ac:dyDescent="0.25">
      <c r="D5" s="147" t="s">
        <v>5</v>
      </c>
      <c r="E5" s="147"/>
      <c r="F5" s="201">
        <v>43928</v>
      </c>
      <c r="G5" s="201"/>
      <c r="H5" s="201"/>
      <c r="I5" s="148"/>
    </row>
    <row r="6" spans="1:13" s="146" customFormat="1" x14ac:dyDescent="0.25">
      <c r="A6" s="192" t="s">
        <v>104</v>
      </c>
      <c r="B6" s="192"/>
      <c r="C6" s="192"/>
      <c r="D6" s="192" t="s">
        <v>105</v>
      </c>
      <c r="E6" s="192"/>
      <c r="F6" s="192"/>
      <c r="G6" s="192"/>
      <c r="H6" s="192"/>
      <c r="I6" s="192"/>
      <c r="J6" s="192"/>
      <c r="K6" s="192"/>
    </row>
    <row r="7" spans="1:13" s="146" customFormat="1" ht="15" customHeight="1" x14ac:dyDescent="0.25">
      <c r="A7" s="192" t="s">
        <v>106</v>
      </c>
      <c r="B7" s="192"/>
      <c r="C7" s="192"/>
      <c r="D7" s="192" t="s">
        <v>107</v>
      </c>
      <c r="E7" s="192"/>
      <c r="F7" s="192"/>
      <c r="G7" s="192"/>
      <c r="H7" s="192"/>
      <c r="I7" s="192"/>
      <c r="J7" s="192"/>
      <c r="K7" s="192"/>
    </row>
    <row r="8" spans="1:13" s="146" customFormat="1" ht="15" customHeight="1" x14ac:dyDescent="0.25">
      <c r="A8" s="192" t="s">
        <v>108</v>
      </c>
      <c r="B8" s="192"/>
      <c r="C8" s="192"/>
      <c r="D8" s="192" t="s">
        <v>109</v>
      </c>
      <c r="E8" s="192"/>
      <c r="F8" s="192"/>
      <c r="G8" s="192"/>
      <c r="H8" s="192"/>
      <c r="I8" s="192"/>
      <c r="J8" s="192"/>
      <c r="K8" s="192"/>
    </row>
    <row r="9" spans="1:13" s="146" customFormat="1" ht="19.5" customHeight="1" x14ac:dyDescent="0.25">
      <c r="A9" s="192" t="s">
        <v>110</v>
      </c>
      <c r="B9" s="192"/>
      <c r="C9" s="192"/>
      <c r="D9" s="192" t="s">
        <v>111</v>
      </c>
      <c r="E9" s="192"/>
      <c r="F9" s="192"/>
      <c r="G9" s="192"/>
      <c r="H9" s="192"/>
      <c r="I9" s="192"/>
      <c r="J9" s="192"/>
      <c r="K9" s="192"/>
    </row>
    <row r="10" spans="1:13" s="146" customFormat="1" ht="18" customHeight="1" x14ac:dyDescent="0.25">
      <c r="A10" s="192" t="s">
        <v>38</v>
      </c>
      <c r="B10" s="192"/>
      <c r="C10" s="192"/>
    </row>
    <row r="11" spans="1:13" s="146" customFormat="1" ht="18" customHeight="1" x14ac:dyDescent="0.25">
      <c r="A11" s="163" t="s">
        <v>112</v>
      </c>
      <c r="B11" s="163"/>
      <c r="C11" s="163"/>
      <c r="D11" s="163">
        <v>28825279</v>
      </c>
      <c r="E11" s="163"/>
      <c r="F11" s="73"/>
      <c r="G11" s="65"/>
      <c r="H11" s="150" t="s">
        <v>43</v>
      </c>
      <c r="I11" s="151">
        <v>70000</v>
      </c>
    </row>
    <row r="12" spans="1:13" s="146" customFormat="1" ht="20.25" customHeight="1" x14ac:dyDescent="0.3">
      <c r="A12" s="194" t="s">
        <v>32</v>
      </c>
      <c r="B12" s="194"/>
      <c r="C12" s="164"/>
      <c r="D12" s="164">
        <v>91585828</v>
      </c>
      <c r="F12" s="152"/>
    </row>
    <row r="13" spans="1:13" ht="45" customHeight="1" x14ac:dyDescent="0.3">
      <c r="A13" s="224" t="s">
        <v>117</v>
      </c>
      <c r="B13" s="225" t="s">
        <v>4</v>
      </c>
      <c r="C13" s="225" t="s">
        <v>115</v>
      </c>
      <c r="D13" s="235" t="s">
        <v>116</v>
      </c>
      <c r="E13" s="226" t="s">
        <v>27</v>
      </c>
      <c r="F13" s="226" t="s">
        <v>28</v>
      </c>
      <c r="G13" s="226" t="s">
        <v>29</v>
      </c>
      <c r="H13" s="226" t="s">
        <v>7</v>
      </c>
      <c r="I13" s="226" t="s">
        <v>13</v>
      </c>
      <c r="J13" s="227" t="s">
        <v>17</v>
      </c>
      <c r="K13" s="228" t="s">
        <v>14</v>
      </c>
    </row>
    <row r="14" spans="1:13" ht="45" customHeight="1" x14ac:dyDescent="0.3">
      <c r="A14" s="229"/>
      <c r="B14" s="230"/>
      <c r="C14" s="230"/>
      <c r="D14" s="236"/>
      <c r="E14" s="231"/>
      <c r="F14" s="231"/>
      <c r="G14" s="231"/>
      <c r="H14" s="231"/>
      <c r="I14" s="231"/>
      <c r="J14" s="232" t="s">
        <v>18</v>
      </c>
      <c r="K14" s="233"/>
    </row>
    <row r="15" spans="1:13" s="154" customFormat="1" ht="18.75" customHeight="1" x14ac:dyDescent="0.25">
      <c r="A15" s="195" t="s">
        <v>61</v>
      </c>
      <c r="B15" s="196"/>
      <c r="C15" s="196"/>
      <c r="D15" s="197"/>
      <c r="E15" s="22"/>
      <c r="F15" s="22"/>
      <c r="G15" s="92"/>
      <c r="H15" s="41"/>
      <c r="I15" s="93"/>
      <c r="J15" s="93"/>
      <c r="K15" s="94"/>
      <c r="L15" s="153"/>
    </row>
    <row r="16" spans="1:13" s="154" customFormat="1" ht="22.5" customHeight="1" x14ac:dyDescent="0.3">
      <c r="A16" s="97">
        <v>4000</v>
      </c>
      <c r="B16" s="42" t="s">
        <v>36</v>
      </c>
      <c r="C16" s="118">
        <v>88</v>
      </c>
      <c r="D16" s="17">
        <v>88</v>
      </c>
      <c r="E16" s="22">
        <f t="shared" ref="E16:E18" si="0">C16+VLOOKUP(C16,ПР,IF($A$1=1,2,3))</f>
        <v>90</v>
      </c>
      <c r="F16" s="22">
        <f t="shared" ref="F16:F18" si="1">D16+VLOOKUP(D16,ПР,IF($A$1=1,2,3))</f>
        <v>90</v>
      </c>
      <c r="G16" s="22">
        <f>A16+50</f>
        <v>4050</v>
      </c>
      <c r="H16" s="99">
        <v>389</v>
      </c>
      <c r="I16" s="155">
        <f>H16*A16*C16*D16/1000000000</f>
        <v>12.05</v>
      </c>
      <c r="J16" s="156">
        <f>ROUND((F16*G16*E16*POWER(10,-9)),-INT(LOG10(ABS(F16*G16*E16*POWER(10,-9))))+3)</f>
        <v>3.2809999999999999E-2</v>
      </c>
      <c r="K16" s="157">
        <f>J16*H16</f>
        <v>12.76309</v>
      </c>
      <c r="L16" s="237">
        <f>INT(LOG10(ABS(F16*G16*E16*POWER(10,-9))))</f>
        <v>-2</v>
      </c>
      <c r="M16" s="153"/>
    </row>
    <row r="17" spans="1:13" s="154" customFormat="1" ht="22.5" customHeight="1" x14ac:dyDescent="0.3">
      <c r="A17" s="97">
        <v>4000</v>
      </c>
      <c r="B17" s="42" t="s">
        <v>36</v>
      </c>
      <c r="C17" s="118">
        <v>88</v>
      </c>
      <c r="D17" s="17">
        <v>108</v>
      </c>
      <c r="E17" s="22">
        <f t="shared" si="0"/>
        <v>90</v>
      </c>
      <c r="F17" s="22">
        <v>111</v>
      </c>
      <c r="G17" s="22">
        <f t="shared" ref="G17:G18" si="2">A17+50</f>
        <v>4050</v>
      </c>
      <c r="H17" s="99">
        <v>2246</v>
      </c>
      <c r="I17" s="155">
        <f>H17*A17*C17*D17/1000000000</f>
        <v>85.384</v>
      </c>
      <c r="J17" s="156">
        <f t="shared" ref="J17:J18" si="3">ROUND((F17*G17*E17*POWER(10,-9)),-INT(LOG10(ABS(F17*G17*E17*POWER(10,-9))))+3)</f>
        <v>4.0460000000000003E-2</v>
      </c>
      <c r="K17" s="157">
        <f t="shared" ref="K17:K18" si="4">J17*H17</f>
        <v>90.873159999999999</v>
      </c>
      <c r="L17" s="153"/>
      <c r="M17" s="153"/>
    </row>
    <row r="18" spans="1:13" ht="18.75" x14ac:dyDescent="0.3">
      <c r="A18" s="97">
        <v>4000</v>
      </c>
      <c r="B18" s="42" t="s">
        <v>36</v>
      </c>
      <c r="C18" s="118">
        <v>88</v>
      </c>
      <c r="D18" s="17">
        <v>138</v>
      </c>
      <c r="E18" s="22">
        <f t="shared" si="0"/>
        <v>90</v>
      </c>
      <c r="F18" s="22">
        <f t="shared" si="1"/>
        <v>141</v>
      </c>
      <c r="G18" s="22">
        <f t="shared" si="2"/>
        <v>4050</v>
      </c>
      <c r="H18" s="99">
        <v>2</v>
      </c>
      <c r="I18" s="155">
        <f t="shared" ref="I18" si="5">H18*A18*C18*D18/1000000000</f>
        <v>9.7000000000000003E-2</v>
      </c>
      <c r="J18" s="156">
        <f t="shared" si="3"/>
        <v>5.1389999999999998E-2</v>
      </c>
      <c r="K18" s="157">
        <f t="shared" si="4"/>
        <v>0.10278</v>
      </c>
    </row>
    <row r="19" spans="1:13" ht="21" customHeight="1" x14ac:dyDescent="0.3">
      <c r="A19" s="97" t="s">
        <v>12</v>
      </c>
      <c r="B19" s="42" t="s">
        <v>86</v>
      </c>
      <c r="C19" s="118" t="str">
        <f>I11&amp;" кг"</f>
        <v>70000 кг</v>
      </c>
      <c r="D19" s="17" t="s">
        <v>87</v>
      </c>
      <c r="E19" s="22" t="str">
        <f>(I11-C25)&amp;" кг"</f>
        <v>69500 кг</v>
      </c>
      <c r="F19" s="22"/>
      <c r="G19" s="22"/>
      <c r="H19" s="99">
        <f>SUBTOTAL(9,H16:H18)</f>
        <v>2637</v>
      </c>
      <c r="I19" s="155">
        <f>SUBTOTAL(9,I16:I18)</f>
        <v>97.531000000000006</v>
      </c>
      <c r="J19" s="158"/>
      <c r="K19" s="157">
        <f>SUBTOTAL(9,K16:K18)</f>
        <v>103.73903</v>
      </c>
    </row>
    <row r="20" spans="1:13" s="146" customFormat="1" ht="19.5" customHeight="1" x14ac:dyDescent="0.25">
      <c r="A20" s="146" t="s">
        <v>44</v>
      </c>
      <c r="K20" s="149"/>
    </row>
    <row r="21" spans="1:13" s="146" customFormat="1" ht="20.100000000000001" customHeight="1" x14ac:dyDescent="0.25">
      <c r="A21" s="198" t="s">
        <v>79</v>
      </c>
      <c r="B21" s="198"/>
      <c r="C21" s="198" t="s">
        <v>83</v>
      </c>
      <c r="D21" s="198"/>
      <c r="E21" s="159"/>
    </row>
    <row r="22" spans="1:13" s="146" customFormat="1" ht="20.100000000000001" customHeight="1" x14ac:dyDescent="0.25">
      <c r="A22" s="198" t="s">
        <v>80</v>
      </c>
      <c r="B22" s="198"/>
      <c r="C22" s="198" t="s">
        <v>84</v>
      </c>
      <c r="D22" s="198"/>
      <c r="E22" s="159"/>
    </row>
    <row r="23" spans="1:13" s="146" customFormat="1" ht="20.100000000000001" customHeight="1" x14ac:dyDescent="0.25">
      <c r="A23" s="198" t="s">
        <v>81</v>
      </c>
      <c r="B23" s="198"/>
      <c r="C23" s="160">
        <v>80</v>
      </c>
      <c r="D23" s="161" t="s">
        <v>85</v>
      </c>
    </row>
    <row r="24" spans="1:13" s="146" customFormat="1" ht="20.100000000000001" customHeight="1" x14ac:dyDescent="0.25">
      <c r="A24" s="198" t="s">
        <v>82</v>
      </c>
      <c r="B24" s="198"/>
      <c r="C24" s="160">
        <v>90</v>
      </c>
      <c r="D24" s="161" t="s">
        <v>85</v>
      </c>
    </row>
    <row r="25" spans="1:13" s="146" customFormat="1" ht="20.100000000000001" customHeight="1" x14ac:dyDescent="0.25">
      <c r="A25" s="161" t="s">
        <v>34</v>
      </c>
      <c r="B25" s="161"/>
      <c r="C25" s="161">
        <v>500</v>
      </c>
      <c r="D25" s="161" t="s">
        <v>26</v>
      </c>
      <c r="E25" s="149"/>
    </row>
    <row r="26" spans="1:13" s="146" customFormat="1" ht="20.100000000000001" customHeight="1" x14ac:dyDescent="0.25">
      <c r="A26" s="161"/>
      <c r="B26" s="161"/>
      <c r="C26" s="161"/>
      <c r="D26" s="161"/>
      <c r="E26" s="149"/>
    </row>
    <row r="27" spans="1:13" s="146" customFormat="1" ht="18" customHeight="1" x14ac:dyDescent="0.25">
      <c r="A27" s="193" t="s">
        <v>35</v>
      </c>
      <c r="B27" s="193"/>
      <c r="C27" s="193"/>
      <c r="D27" s="193"/>
      <c r="E27" s="64"/>
      <c r="F27" s="199" t="s">
        <v>114</v>
      </c>
      <c r="G27" s="199"/>
      <c r="H27" s="199"/>
      <c r="I27" s="199"/>
      <c r="J27" s="199"/>
    </row>
    <row r="28" spans="1:13" s="146" customFormat="1" ht="18.75" customHeight="1" x14ac:dyDescent="0.25"/>
  </sheetData>
  <autoFilter ref="B19:C25" xr:uid="{00000000-0009-0000-0000-000001000000}">
    <filterColumn colId="0">
      <colorFilter dxfId="0"/>
    </filterColumn>
  </autoFilter>
  <mergeCells count="33">
    <mergeCell ref="K13:K14"/>
    <mergeCell ref="B13:B14"/>
    <mergeCell ref="C13:C14"/>
    <mergeCell ref="D13:D14"/>
    <mergeCell ref="I13:I14"/>
    <mergeCell ref="H13:H14"/>
    <mergeCell ref="E13:E14"/>
    <mergeCell ref="G13:G14"/>
    <mergeCell ref="H27:J27"/>
    <mergeCell ref="F27:G27"/>
    <mergeCell ref="C2:J2"/>
    <mergeCell ref="C3:J3"/>
    <mergeCell ref="F5:H5"/>
    <mergeCell ref="A27:D27"/>
    <mergeCell ref="A12:B12"/>
    <mergeCell ref="A10:C10"/>
    <mergeCell ref="F13:F14"/>
    <mergeCell ref="A15:D15"/>
    <mergeCell ref="A13:A14"/>
    <mergeCell ref="A24:B24"/>
    <mergeCell ref="A21:B21"/>
    <mergeCell ref="C21:D21"/>
    <mergeCell ref="A22:B22"/>
    <mergeCell ref="C22:D22"/>
    <mergeCell ref="A23:B23"/>
    <mergeCell ref="A9:C9"/>
    <mergeCell ref="D9:K9"/>
    <mergeCell ref="A6:C6"/>
    <mergeCell ref="D6:K6"/>
    <mergeCell ref="A7:C7"/>
    <mergeCell ref="D7:K7"/>
    <mergeCell ref="D8:K8"/>
    <mergeCell ref="A8:C8"/>
  </mergeCells>
  <pageMargins left="0.74803149606299213" right="0.15748031496062992" top="0.15748031496062992" bottom="0.27559055118110237" header="0.51181102362204722" footer="0.51181102362204722"/>
  <pageSetup paperSize="9" scale="65" orientation="landscape" horizontalDpi="120" verticalDpi="144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0"/>
  <sheetViews>
    <sheetView topLeftCell="E13" zoomScale="110" zoomScaleNormal="110" workbookViewId="0">
      <selection activeCell="A23" sqref="A23:XFD26"/>
    </sheetView>
  </sheetViews>
  <sheetFormatPr defaultRowHeight="12.75" x14ac:dyDescent="0.2"/>
  <cols>
    <col min="1" max="1" width="19.28515625" style="20" customWidth="1"/>
    <col min="2" max="2" width="14.28515625" style="20" customWidth="1"/>
    <col min="3" max="3" width="15.42578125" style="20" customWidth="1"/>
    <col min="4" max="4" width="14" style="20" customWidth="1"/>
    <col min="5" max="8" width="18.28515625" style="20" customWidth="1"/>
    <col min="9" max="9" width="11.7109375" style="20" customWidth="1"/>
    <col min="10" max="11" width="19.5703125" style="20" customWidth="1"/>
    <col min="12" max="12" width="23" style="20" customWidth="1"/>
    <col min="13" max="16384" width="9.140625" style="20"/>
  </cols>
  <sheetData>
    <row r="1" spans="1:14" ht="18.75" x14ac:dyDescent="0.25">
      <c r="A1" s="20">
        <v>1</v>
      </c>
      <c r="B1" s="21"/>
      <c r="C1" s="21"/>
      <c r="D1" s="57"/>
      <c r="E1" s="23"/>
      <c r="F1" s="23"/>
      <c r="G1" s="23"/>
      <c r="H1" s="23"/>
      <c r="I1" s="23"/>
    </row>
    <row r="2" spans="1:14" customFormat="1" ht="20.25" x14ac:dyDescent="0.3">
      <c r="C2" s="221" t="s">
        <v>66</v>
      </c>
      <c r="D2" s="221"/>
      <c r="E2" s="221"/>
      <c r="F2" s="221"/>
      <c r="G2" s="221"/>
      <c r="H2" s="221"/>
      <c r="I2" s="221"/>
      <c r="J2" s="221"/>
      <c r="K2" s="221"/>
    </row>
    <row r="3" spans="1:14" customFormat="1" ht="18.75" x14ac:dyDescent="0.3">
      <c r="C3" s="200" t="s">
        <v>41</v>
      </c>
      <c r="D3" s="200"/>
      <c r="E3" s="200"/>
      <c r="F3" s="200"/>
      <c r="G3" s="200"/>
      <c r="H3" s="200"/>
      <c r="I3" s="200"/>
      <c r="J3" s="200"/>
      <c r="K3" s="200"/>
    </row>
    <row r="4" spans="1:14" customFormat="1" ht="18.75" x14ac:dyDescent="0.3">
      <c r="C4" s="109"/>
      <c r="D4" s="109"/>
      <c r="E4" s="109"/>
      <c r="F4" s="109"/>
      <c r="G4" s="109"/>
      <c r="H4" s="109"/>
      <c r="I4" s="109"/>
      <c r="J4" s="109"/>
      <c r="K4" s="109"/>
    </row>
    <row r="5" spans="1:14" customFormat="1" ht="15.75" x14ac:dyDescent="0.25">
      <c r="D5" s="107" t="s">
        <v>5</v>
      </c>
      <c r="E5" s="107"/>
      <c r="F5" s="222">
        <v>43234</v>
      </c>
      <c r="G5" s="222"/>
      <c r="H5" s="222"/>
      <c r="I5" s="222"/>
      <c r="J5" s="110"/>
    </row>
    <row r="6" spans="1:14" customFormat="1" ht="15.75" x14ac:dyDescent="0.25">
      <c r="A6" s="60" t="s">
        <v>57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4" customFormat="1" ht="15" customHeight="1" x14ac:dyDescent="0.25">
      <c r="A7" s="223" t="s">
        <v>67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</row>
    <row r="8" spans="1:14" customFormat="1" ht="15" customHeight="1" x14ac:dyDescent="0.25">
      <c r="A8" s="60" t="s">
        <v>58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4" customFormat="1" ht="19.5" customHeight="1" x14ac:dyDescent="0.25">
      <c r="A9" s="60" t="s">
        <v>42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4" customFormat="1" ht="18" customHeight="1" x14ac:dyDescent="0.25">
      <c r="A10" s="203" t="s">
        <v>38</v>
      </c>
      <c r="B10" s="203"/>
      <c r="C10" s="203"/>
    </row>
    <row r="11" spans="1:14" customFormat="1" ht="18" customHeight="1" x14ac:dyDescent="0.25">
      <c r="A11" s="220" t="s">
        <v>56</v>
      </c>
      <c r="B11" s="220"/>
      <c r="C11" s="192" t="s">
        <v>56</v>
      </c>
      <c r="D11" s="192"/>
      <c r="E11" s="192"/>
      <c r="F11" s="73"/>
      <c r="G11" s="65"/>
      <c r="H11" s="65"/>
      <c r="I11" s="111" t="s">
        <v>43</v>
      </c>
      <c r="J11" s="79">
        <v>68000</v>
      </c>
    </row>
    <row r="12" spans="1:14" customFormat="1" ht="20.25" customHeight="1" x14ac:dyDescent="0.3">
      <c r="A12" s="209" t="s">
        <v>32</v>
      </c>
      <c r="B12" s="209"/>
      <c r="C12" s="194" t="s">
        <v>56</v>
      </c>
      <c r="D12" s="194"/>
      <c r="F12" s="61"/>
    </row>
    <row r="13" spans="1:14" ht="45" customHeight="1" x14ac:dyDescent="0.25">
      <c r="A13" s="210" t="s">
        <v>22</v>
      </c>
      <c r="B13" s="212" t="s">
        <v>4</v>
      </c>
      <c r="C13" s="212" t="s">
        <v>20</v>
      </c>
      <c r="D13" s="212" t="s">
        <v>21</v>
      </c>
      <c r="E13" s="214" t="s">
        <v>27</v>
      </c>
      <c r="F13" s="214" t="s">
        <v>28</v>
      </c>
      <c r="G13" s="214" t="s">
        <v>29</v>
      </c>
      <c r="H13" s="24" t="s">
        <v>15</v>
      </c>
      <c r="I13" s="216" t="s">
        <v>7</v>
      </c>
      <c r="J13" s="218" t="s">
        <v>13</v>
      </c>
      <c r="K13" s="25" t="s">
        <v>17</v>
      </c>
      <c r="L13" s="207" t="s">
        <v>14</v>
      </c>
    </row>
    <row r="14" spans="1:14" ht="45" customHeight="1" x14ac:dyDescent="0.25">
      <c r="A14" s="211"/>
      <c r="B14" s="213"/>
      <c r="C14" s="213"/>
      <c r="D14" s="213"/>
      <c r="E14" s="215"/>
      <c r="F14" s="215"/>
      <c r="G14" s="215"/>
      <c r="H14" s="26" t="s">
        <v>16</v>
      </c>
      <c r="I14" s="217"/>
      <c r="J14" s="219"/>
      <c r="K14" s="27" t="s">
        <v>18</v>
      </c>
      <c r="L14" s="208"/>
    </row>
    <row r="15" spans="1:14" s="96" customFormat="1" ht="18.75" customHeight="1" x14ac:dyDescent="0.25">
      <c r="A15" s="195" t="s">
        <v>61</v>
      </c>
      <c r="B15" s="196"/>
      <c r="C15" s="196"/>
      <c r="D15" s="197"/>
      <c r="E15" s="22"/>
      <c r="F15" s="22"/>
      <c r="G15" s="92"/>
      <c r="H15" s="92"/>
      <c r="I15" s="41"/>
      <c r="J15" s="93"/>
      <c r="K15" s="93"/>
      <c r="L15" s="94"/>
      <c r="M15" s="95"/>
    </row>
    <row r="16" spans="1:14" s="96" customFormat="1" ht="22.5" customHeight="1" x14ac:dyDescent="0.3">
      <c r="A16" s="97">
        <v>4000</v>
      </c>
      <c r="B16" s="42" t="s">
        <v>36</v>
      </c>
      <c r="C16" s="19">
        <v>90</v>
      </c>
      <c r="D16" s="17">
        <v>90</v>
      </c>
      <c r="E16" s="22">
        <f t="shared" ref="E16:F17" si="0">C16+VLOOKUP(C16,ПР,IF($A$1=1,2,3))</f>
        <v>92</v>
      </c>
      <c r="F16" s="22">
        <f t="shared" si="0"/>
        <v>92</v>
      </c>
      <c r="G16" s="22">
        <f>A16+50</f>
        <v>4050</v>
      </c>
      <c r="H16" s="98">
        <f>ROUND((C16*D16*A16*POWER(10,-9)),-INT(LOG10(ABS(C16*D16*A16*POWER(10,-9))))+3)</f>
        <v>3.2399999999999998E-2</v>
      </c>
      <c r="I16" s="99">
        <v>0</v>
      </c>
      <c r="J16" s="52">
        <f>IF(I16=0,0,ROUND(H16*I16,-INT(LOG10(ABS(H16*I16)))+3))</f>
        <v>0</v>
      </c>
      <c r="K16" s="29">
        <f>ROUND((F16*G16*E16*POWER(10,-9)),-INT(LOG10(ABS(F16*G16*E16*POWER(10,-9))))+3)</f>
        <v>3.4279999999999998E-2</v>
      </c>
      <c r="L16" s="54">
        <f>K16*I16</f>
        <v>0</v>
      </c>
      <c r="M16" s="95"/>
      <c r="N16" s="95"/>
    </row>
    <row r="17" spans="1:12" ht="18.75" x14ac:dyDescent="0.3">
      <c r="A17" s="17">
        <v>4000</v>
      </c>
      <c r="B17" s="42" t="s">
        <v>36</v>
      </c>
      <c r="C17" s="19">
        <v>90</v>
      </c>
      <c r="D17" s="17">
        <v>110</v>
      </c>
      <c r="E17" s="22">
        <f t="shared" si="0"/>
        <v>92</v>
      </c>
      <c r="F17" s="22">
        <f t="shared" si="0"/>
        <v>113</v>
      </c>
      <c r="G17" s="22">
        <f t="shared" ref="G17" si="1">A17+50</f>
        <v>4050</v>
      </c>
      <c r="H17" s="55">
        <f t="shared" ref="H17" si="2">ROUND((C17*D17*A17*POWER(10,-9)),-INT(LOG10(ABS(C17*D17*A17*POWER(10,-9))))+3)</f>
        <v>3.9600000000000003E-2</v>
      </c>
      <c r="I17" s="99">
        <v>0</v>
      </c>
      <c r="J17" s="52">
        <f t="shared" ref="J17" si="3">IF(I17=0,0,ROUND(H17*I17,-INT(LOG10(ABS(H17*I17)))+3))</f>
        <v>0</v>
      </c>
      <c r="K17" s="91">
        <f t="shared" ref="K17" si="4">ROUND((F17*G17*E17*POWER(10,-9)),-INT(LOG10(ABS(F17*G17*E17*POWER(10,-9))))+3)</f>
        <v>4.2099999999999999E-2</v>
      </c>
      <c r="L17" s="54">
        <f t="shared" ref="L17" si="5">IF(I17=0,0,ROUND(I17*K17,-INT(LOG10(ABS(I17*K17)))+3))</f>
        <v>0</v>
      </c>
    </row>
    <row r="18" spans="1:12" ht="18.75" x14ac:dyDescent="0.3">
      <c r="A18" s="97">
        <v>4000</v>
      </c>
      <c r="B18" s="42" t="s">
        <v>36</v>
      </c>
      <c r="C18" s="19">
        <v>90</v>
      </c>
      <c r="D18" s="17">
        <v>140</v>
      </c>
      <c r="E18" s="22">
        <f t="shared" ref="E18:E21" si="6">C18+VLOOKUP(C18,ПР,IF($A$1=1,2,3))</f>
        <v>92</v>
      </c>
      <c r="F18" s="22">
        <f t="shared" ref="F18:F21" si="7">D18+VLOOKUP(D18,ПР,IF($A$1=1,2,3))</f>
        <v>143</v>
      </c>
      <c r="G18" s="22">
        <f>A18+50</f>
        <v>4050</v>
      </c>
      <c r="H18" s="98">
        <f>ROUND((C18*D18*A18*POWER(10,-9)),-INT(LOG10(ABS(C18*D18*A18*POWER(10,-9))))+3)</f>
        <v>5.04E-2</v>
      </c>
      <c r="I18" s="99">
        <v>0</v>
      </c>
      <c r="J18" s="52">
        <f>IF(I18=0,0,ROUND(H18*I18,-INT(LOG10(ABS(H18*I18)))+3))</f>
        <v>0</v>
      </c>
      <c r="K18" s="29">
        <f>ROUND((F18*G18*E18*POWER(10,-9)),-INT(LOG10(ABS(F18*G18*E18*POWER(10,-9))))+3)</f>
        <v>5.3280000000000001E-2</v>
      </c>
      <c r="L18" s="54">
        <f>K18*I18</f>
        <v>0</v>
      </c>
    </row>
    <row r="19" spans="1:12" ht="18.75" x14ac:dyDescent="0.3">
      <c r="A19" s="17">
        <v>4000</v>
      </c>
      <c r="B19" s="42" t="s">
        <v>36</v>
      </c>
      <c r="C19" s="118">
        <v>90</v>
      </c>
      <c r="D19" s="17">
        <v>190</v>
      </c>
      <c r="E19" s="22">
        <f t="shared" si="6"/>
        <v>92</v>
      </c>
      <c r="F19" s="22">
        <f t="shared" si="7"/>
        <v>193</v>
      </c>
      <c r="G19" s="22">
        <f t="shared" ref="G19" si="8">A19+50</f>
        <v>4050</v>
      </c>
      <c r="H19" s="55">
        <f t="shared" ref="H19" si="9">ROUND((C19*D19*A19*POWER(10,-9)),-INT(LOG10(ABS(C19*D19*A19*POWER(10,-9))))+3)</f>
        <v>6.8400000000000002E-2</v>
      </c>
      <c r="I19" s="99">
        <v>0</v>
      </c>
      <c r="J19" s="52">
        <f t="shared" ref="J19" si="10">IF(I19=0,0,ROUND(H19*I19,-INT(LOG10(ABS(H19*I19)))+3))</f>
        <v>0</v>
      </c>
      <c r="K19" s="91">
        <f t="shared" ref="K19" si="11">ROUND((F19*G19*E19*POWER(10,-9)),-INT(LOG10(ABS(F19*G19*E19*POWER(10,-9))))+3)</f>
        <v>7.1910000000000002E-2</v>
      </c>
      <c r="L19" s="54">
        <f t="shared" ref="L19" si="12">IF(I19=0,0,ROUND(I19*K19,-INT(LOG10(ABS(I19*K19)))+3))</f>
        <v>0</v>
      </c>
    </row>
    <row r="20" spans="1:12" ht="18.75" x14ac:dyDescent="0.3">
      <c r="A20" s="97">
        <v>4000</v>
      </c>
      <c r="B20" s="42" t="s">
        <v>36</v>
      </c>
      <c r="C20" s="118">
        <v>150</v>
      </c>
      <c r="D20" s="17">
        <v>150</v>
      </c>
      <c r="E20" s="22">
        <f t="shared" ref="E20" si="13">C20+VLOOKUP(C20,ПР,IF($A$1=1,2,3))</f>
        <v>153</v>
      </c>
      <c r="F20" s="22">
        <f t="shared" ref="F20" si="14">D20+VLOOKUP(D20,ПР,IF($A$1=1,2,3))</f>
        <v>153</v>
      </c>
      <c r="G20" s="22">
        <f>A20+50</f>
        <v>4050</v>
      </c>
      <c r="H20" s="98">
        <f>ROUND((C20*D20*A20*POWER(10,-9)),-INT(LOG10(ABS(C20*D20*A20*POWER(10,-9))))+3)</f>
        <v>0.09</v>
      </c>
      <c r="I20" s="99">
        <v>0</v>
      </c>
      <c r="J20" s="52">
        <f>IF(I20=0,0,ROUND(H20*I20,-INT(LOG10(ABS(H20*I20)))+3))</f>
        <v>0</v>
      </c>
      <c r="K20" s="29">
        <f>ROUND((F20*G20*E20*POWER(10,-9)),-INT(LOG10(ABS(F20*G20*E20*POWER(10,-9))))+3)</f>
        <v>9.4810000000000005E-2</v>
      </c>
      <c r="L20" s="54">
        <f>K20*I20</f>
        <v>0</v>
      </c>
    </row>
    <row r="21" spans="1:12" ht="18.75" x14ac:dyDescent="0.3">
      <c r="A21" s="17">
        <v>4000</v>
      </c>
      <c r="B21" s="42" t="s">
        <v>36</v>
      </c>
      <c r="C21" s="19">
        <v>180</v>
      </c>
      <c r="D21" s="17">
        <v>180</v>
      </c>
      <c r="E21" s="22">
        <f t="shared" si="6"/>
        <v>183</v>
      </c>
      <c r="F21" s="22">
        <f t="shared" si="7"/>
        <v>183</v>
      </c>
      <c r="G21" s="22">
        <f t="shared" ref="G21" si="15">A21+50</f>
        <v>4050</v>
      </c>
      <c r="H21" s="55">
        <f t="shared" ref="H21" si="16">ROUND((C21*D21*A21*POWER(10,-9)),-INT(LOG10(ABS(C21*D21*A21*POWER(10,-9))))+3)</f>
        <v>0.12959999999999999</v>
      </c>
      <c r="I21" s="99">
        <v>0</v>
      </c>
      <c r="J21" s="52">
        <f t="shared" ref="J21" si="17">IF(I21=0,0,ROUND(H21*I21,-INT(LOG10(ABS(H21*I21)))+3))</f>
        <v>0</v>
      </c>
      <c r="K21" s="91">
        <f t="shared" ref="K21" si="18">ROUND((F21*G21*E21*POWER(10,-9)),-INT(LOG10(ABS(F21*G21*E21*POWER(10,-9))))+3)</f>
        <v>0.1356</v>
      </c>
      <c r="L21" s="54">
        <f t="shared" ref="L21" si="19">IF(I21=0,0,ROUND(I21*K21,-INT(LOG10(ABS(I21*K21)))+3))</f>
        <v>0</v>
      </c>
    </row>
    <row r="22" spans="1:12" ht="18.75" customHeight="1" x14ac:dyDescent="0.25">
      <c r="A22" s="30" t="s">
        <v>54</v>
      </c>
      <c r="B22" s="31" t="s">
        <v>23</v>
      </c>
      <c r="C22" s="32">
        <f>SUM(J11*L22/L41)</f>
        <v>0</v>
      </c>
      <c r="D22" s="38" t="s">
        <v>26</v>
      </c>
      <c r="E22" s="39" t="s">
        <v>24</v>
      </c>
      <c r="F22" s="41">
        <f>SUM(J11-C47)*L22/L41</f>
        <v>0</v>
      </c>
      <c r="G22" s="33" t="s">
        <v>26</v>
      </c>
      <c r="H22" s="22"/>
      <c r="I22" s="104">
        <f>SUM(I16:I21)</f>
        <v>0</v>
      </c>
      <c r="J22" s="77">
        <f>SUM(J16:J21)</f>
        <v>0</v>
      </c>
      <c r="K22" s="29"/>
      <c r="L22" s="78">
        <f>SUM(L16:L21)</f>
        <v>0</v>
      </c>
    </row>
    <row r="23" spans="1:12" ht="20.25" x14ac:dyDescent="0.3">
      <c r="A23" s="100" t="s">
        <v>62</v>
      </c>
      <c r="B23" s="101"/>
      <c r="C23" s="101"/>
      <c r="D23" s="101"/>
      <c r="E23" s="101"/>
      <c r="F23" s="101"/>
      <c r="G23" s="101"/>
      <c r="H23" s="101"/>
      <c r="I23" s="106"/>
      <c r="J23" s="119"/>
      <c r="K23" s="102"/>
      <c r="L23" s="120"/>
    </row>
    <row r="24" spans="1:12" ht="18.75" x14ac:dyDescent="0.3">
      <c r="A24" s="97">
        <v>4000</v>
      </c>
      <c r="B24" s="42" t="s">
        <v>36</v>
      </c>
      <c r="C24" s="118">
        <v>90</v>
      </c>
      <c r="D24" s="17">
        <v>90</v>
      </c>
      <c r="E24" s="22">
        <f t="shared" ref="E24:E29" si="20">C24+VLOOKUP(C24,ПР,IF($A$1=1,2,3))</f>
        <v>92</v>
      </c>
      <c r="F24" s="22">
        <f t="shared" ref="F24:F29" si="21">D24+VLOOKUP(D24,ПР,IF($A$1=1,2,3))</f>
        <v>92</v>
      </c>
      <c r="G24" s="22">
        <f>A24+50</f>
        <v>4050</v>
      </c>
      <c r="H24" s="98">
        <f>ROUND((C24*D24*A24*POWER(10,-9)),-INT(LOG10(ABS(C24*D24*A24*POWER(10,-9))))+3)</f>
        <v>3.2399999999999998E-2</v>
      </c>
      <c r="I24" s="99">
        <v>0</v>
      </c>
      <c r="J24" s="52">
        <f>IF(I24=0,0,ROUND(H24*I24,-INT(LOG10(ABS(H24*I24)))+3))</f>
        <v>0</v>
      </c>
      <c r="K24" s="29">
        <f>ROUND((F24*G24*E24*POWER(10,-9)),-INT(LOG10(ABS(F24*G24*E24*POWER(10,-9))))+3)</f>
        <v>3.4279999999999998E-2</v>
      </c>
      <c r="L24" s="54">
        <f>K24*I24</f>
        <v>0</v>
      </c>
    </row>
    <row r="25" spans="1:12" ht="18.75" x14ac:dyDescent="0.3">
      <c r="A25" s="17">
        <v>4000</v>
      </c>
      <c r="B25" s="42" t="s">
        <v>36</v>
      </c>
      <c r="C25" s="118">
        <v>90</v>
      </c>
      <c r="D25" s="17">
        <v>110</v>
      </c>
      <c r="E25" s="22">
        <f t="shared" si="20"/>
        <v>92</v>
      </c>
      <c r="F25" s="22">
        <f t="shared" si="21"/>
        <v>113</v>
      </c>
      <c r="G25" s="22">
        <f t="shared" ref="G25" si="22">A25+50</f>
        <v>4050</v>
      </c>
      <c r="H25" s="55">
        <f t="shared" ref="H25" si="23">ROUND((C25*D25*A25*POWER(10,-9)),-INT(LOG10(ABS(C25*D25*A25*POWER(10,-9))))+3)</f>
        <v>3.9600000000000003E-2</v>
      </c>
      <c r="I25" s="99">
        <v>0</v>
      </c>
      <c r="J25" s="52">
        <f t="shared" ref="J25" si="24">IF(I25=0,0,ROUND(H25*I25,-INT(LOG10(ABS(H25*I25)))+3))</f>
        <v>0</v>
      </c>
      <c r="K25" s="91">
        <f t="shared" ref="K25" si="25">ROUND((F25*G25*E25*POWER(10,-9)),-INT(LOG10(ABS(F25*G25*E25*POWER(10,-9))))+3)</f>
        <v>4.2099999999999999E-2</v>
      </c>
      <c r="L25" s="54">
        <f t="shared" ref="L25" si="26">IF(I25=0,0,ROUND(I25*K25,-INT(LOG10(ABS(I25*K25)))+3))</f>
        <v>0</v>
      </c>
    </row>
    <row r="26" spans="1:12" ht="18.75" x14ac:dyDescent="0.3">
      <c r="A26" s="97">
        <v>4000</v>
      </c>
      <c r="B26" s="42" t="s">
        <v>36</v>
      </c>
      <c r="C26" s="118">
        <v>90</v>
      </c>
      <c r="D26" s="17">
        <v>140</v>
      </c>
      <c r="E26" s="22">
        <f t="shared" si="20"/>
        <v>92</v>
      </c>
      <c r="F26" s="22">
        <f t="shared" si="21"/>
        <v>143</v>
      </c>
      <c r="G26" s="22">
        <f>A26+50</f>
        <v>4050</v>
      </c>
      <c r="H26" s="98">
        <f>ROUND((C26*D26*A26*POWER(10,-9)),-INT(LOG10(ABS(C26*D26*A26*POWER(10,-9))))+3)</f>
        <v>5.04E-2</v>
      </c>
      <c r="I26" s="99">
        <v>0</v>
      </c>
      <c r="J26" s="52">
        <f>IF(I26=0,0,ROUND(H26*I26,-INT(LOG10(ABS(H26*I26)))+3))</f>
        <v>0</v>
      </c>
      <c r="K26" s="29">
        <f>ROUND((F26*G26*E26*POWER(10,-9)),-INT(LOG10(ABS(F26*G26*E26*POWER(10,-9))))+3)</f>
        <v>5.3280000000000001E-2</v>
      </c>
      <c r="L26" s="54">
        <f>K26*I26</f>
        <v>0</v>
      </c>
    </row>
    <row r="27" spans="1:12" ht="18.75" x14ac:dyDescent="0.3">
      <c r="A27" s="17">
        <v>4000</v>
      </c>
      <c r="B27" s="42" t="s">
        <v>36</v>
      </c>
      <c r="C27" s="118">
        <v>90</v>
      </c>
      <c r="D27" s="17">
        <v>190</v>
      </c>
      <c r="E27" s="22">
        <f t="shared" si="20"/>
        <v>92</v>
      </c>
      <c r="F27" s="22">
        <f t="shared" si="21"/>
        <v>193</v>
      </c>
      <c r="G27" s="22">
        <f t="shared" ref="G27" si="27">A27+50</f>
        <v>4050</v>
      </c>
      <c r="H27" s="55">
        <f t="shared" ref="H27" si="28">ROUND((C27*D27*A27*POWER(10,-9)),-INT(LOG10(ABS(C27*D27*A27*POWER(10,-9))))+3)</f>
        <v>6.8400000000000002E-2</v>
      </c>
      <c r="I27" s="99">
        <v>0</v>
      </c>
      <c r="J27" s="52">
        <f t="shared" ref="J27" si="29">IF(I27=0,0,ROUND(H27*I27,-INT(LOG10(ABS(H27*I27)))+3))</f>
        <v>0</v>
      </c>
      <c r="K27" s="91">
        <f t="shared" ref="K27" si="30">ROUND((F27*G27*E27*POWER(10,-9)),-INT(LOG10(ABS(F27*G27*E27*POWER(10,-9))))+3)</f>
        <v>7.1910000000000002E-2</v>
      </c>
      <c r="L27" s="54">
        <f t="shared" ref="L27" si="31">IF(I27=0,0,ROUND(I27*K27,-INT(LOG10(ABS(I27*K27)))+3))</f>
        <v>0</v>
      </c>
    </row>
    <row r="28" spans="1:12" ht="18.75" x14ac:dyDescent="0.3">
      <c r="A28" s="97">
        <v>4000</v>
      </c>
      <c r="B28" s="42" t="s">
        <v>36</v>
      </c>
      <c r="C28" s="118">
        <v>150</v>
      </c>
      <c r="D28" s="17">
        <v>150</v>
      </c>
      <c r="E28" s="22">
        <f t="shared" si="20"/>
        <v>153</v>
      </c>
      <c r="F28" s="22">
        <f t="shared" si="21"/>
        <v>153</v>
      </c>
      <c r="G28" s="22">
        <f>A28+50</f>
        <v>4050</v>
      </c>
      <c r="H28" s="98">
        <f>ROUND((C28*D28*A28*POWER(10,-9)),-INT(LOG10(ABS(C28*D28*A28*POWER(10,-9))))+3)</f>
        <v>0.09</v>
      </c>
      <c r="I28" s="99">
        <v>0</v>
      </c>
      <c r="J28" s="52">
        <f>IF(I28=0,0,ROUND(H28*I28,-INT(LOG10(ABS(H28*I28)))+3))</f>
        <v>0</v>
      </c>
      <c r="K28" s="29">
        <f>ROUND((F28*G28*E28*POWER(10,-9)),-INT(LOG10(ABS(F28*G28*E28*POWER(10,-9))))+3)</f>
        <v>9.4810000000000005E-2</v>
      </c>
      <c r="L28" s="54">
        <f>K28*I28</f>
        <v>0</v>
      </c>
    </row>
    <row r="29" spans="1:12" ht="18.75" x14ac:dyDescent="0.3">
      <c r="A29" s="17">
        <v>4000</v>
      </c>
      <c r="B29" s="42" t="s">
        <v>36</v>
      </c>
      <c r="C29" s="118">
        <v>180</v>
      </c>
      <c r="D29" s="17">
        <v>180</v>
      </c>
      <c r="E29" s="22">
        <f t="shared" si="20"/>
        <v>183</v>
      </c>
      <c r="F29" s="22">
        <f t="shared" si="21"/>
        <v>183</v>
      </c>
      <c r="G29" s="22">
        <f t="shared" ref="G29" si="32">A29+50</f>
        <v>4050</v>
      </c>
      <c r="H29" s="55">
        <f t="shared" ref="H29" si="33">ROUND((C29*D29*A29*POWER(10,-9)),-INT(LOG10(ABS(C29*D29*A29*POWER(10,-9))))+3)</f>
        <v>0.12959999999999999</v>
      </c>
      <c r="I29" s="99">
        <v>1</v>
      </c>
      <c r="J29" s="52">
        <f t="shared" ref="J29" si="34">IF(I29=0,0,ROUND(H29*I29,-INT(LOG10(ABS(H29*I29)))+3))</f>
        <v>0.13</v>
      </c>
      <c r="K29" s="91">
        <f t="shared" ref="K29" si="35">ROUND((F29*G29*E29*POWER(10,-9)),-INT(LOG10(ABS(F29*G29*E29*POWER(10,-9))))+3)</f>
        <v>0.1356</v>
      </c>
      <c r="L29" s="54">
        <f t="shared" ref="L29" si="36">IF(I29=0,0,ROUND(I29*K29,-INT(LOG10(ABS(I29*K29)))+3))</f>
        <v>0.1356</v>
      </c>
    </row>
    <row r="30" spans="1:12" ht="18.75" customHeight="1" x14ac:dyDescent="0.25">
      <c r="A30" s="115" t="s">
        <v>60</v>
      </c>
      <c r="B30" s="31" t="s">
        <v>23</v>
      </c>
      <c r="C30" s="116">
        <f>SUM(J11*L30/L41)</f>
        <v>68000</v>
      </c>
      <c r="D30" s="38" t="s">
        <v>26</v>
      </c>
      <c r="E30" s="39" t="s">
        <v>24</v>
      </c>
      <c r="F30" s="116">
        <f>SUM(J11-C47)*L30/L41</f>
        <v>67000</v>
      </c>
      <c r="G30" s="33" t="s">
        <v>26</v>
      </c>
      <c r="H30" s="58"/>
      <c r="I30" s="28">
        <v>0</v>
      </c>
      <c r="J30" s="52">
        <f>SUM(J24:J29)</f>
        <v>0.13</v>
      </c>
      <c r="K30" s="103"/>
      <c r="L30" s="54">
        <f>SUM(L24:L29)</f>
        <v>0.1356</v>
      </c>
    </row>
    <row r="31" spans="1:12" ht="18.75" hidden="1" customHeight="1" x14ac:dyDescent="0.3">
      <c r="A31" s="100" t="s">
        <v>63</v>
      </c>
      <c r="B31" s="112"/>
      <c r="C31" s="112"/>
      <c r="D31" s="112"/>
      <c r="E31" s="112"/>
      <c r="F31" s="112"/>
      <c r="G31" s="112"/>
      <c r="H31" s="113"/>
      <c r="I31" s="28"/>
      <c r="J31" s="52"/>
      <c r="K31" s="103"/>
      <c r="L31" s="54"/>
    </row>
    <row r="32" spans="1:12" ht="18.75" hidden="1" customHeight="1" x14ac:dyDescent="0.3">
      <c r="A32" s="17">
        <v>4000</v>
      </c>
      <c r="B32" s="17" t="s">
        <v>19</v>
      </c>
      <c r="C32" s="19">
        <v>150</v>
      </c>
      <c r="D32" s="17">
        <v>150</v>
      </c>
      <c r="E32" s="22">
        <f t="shared" ref="E32:F35" si="37">C32+VLOOKUP(C32,ПР,IF($A$1=1,2,3))</f>
        <v>153</v>
      </c>
      <c r="F32" s="22">
        <f t="shared" si="37"/>
        <v>153</v>
      </c>
      <c r="G32" s="22">
        <f>A32+50</f>
        <v>4050</v>
      </c>
      <c r="H32" s="55">
        <f>ROUND((C32*D32*A32*POWER(10,-9)),-INT(LOG10(ABS(C32*D32*A32*POWER(10,-9))))+3)</f>
        <v>0.09</v>
      </c>
      <c r="I32" s="18"/>
      <c r="J32" s="52">
        <f>IF(I32=0,0,ROUND(H32*I32,-INT(LOG10(ABS(H32*I32)))+3))</f>
        <v>0</v>
      </c>
      <c r="K32" s="91">
        <f t="shared" ref="K32:K35" si="38">ROUND((F32*G32*E32*POWER(10,-9)),-INT(LOG10(ABS(F32*G32*E32*POWER(10,-9))))+3)</f>
        <v>9.4810000000000005E-2</v>
      </c>
      <c r="L32" s="54">
        <f>IF(I32=0,0,ROUND(I32*K32,-INT(LOG10(ABS(I32*K32)))+3))</f>
        <v>0</v>
      </c>
    </row>
    <row r="33" spans="1:12" ht="18.75" hidden="1" customHeight="1" x14ac:dyDescent="0.3">
      <c r="A33" s="17">
        <v>4000</v>
      </c>
      <c r="B33" s="17" t="s">
        <v>19</v>
      </c>
      <c r="C33" s="19">
        <v>150</v>
      </c>
      <c r="D33" s="17">
        <v>200</v>
      </c>
      <c r="E33" s="22">
        <f t="shared" si="37"/>
        <v>153</v>
      </c>
      <c r="F33" s="22">
        <f t="shared" si="37"/>
        <v>203</v>
      </c>
      <c r="G33" s="22">
        <f t="shared" ref="G33:G35" si="39">A33+50</f>
        <v>4050</v>
      </c>
      <c r="H33" s="55">
        <f t="shared" ref="H33:H35" si="40">ROUND((C33*D33*A33*POWER(10,-9)),-INT(LOG10(ABS(C33*D33*A33*POWER(10,-9))))+3)</f>
        <v>0.12</v>
      </c>
      <c r="I33" s="18"/>
      <c r="J33" s="52">
        <f t="shared" ref="J33:J35" si="41">IF(I33=0,0,ROUND(H33*I33,-INT(LOG10(ABS(H33*I33)))+3))</f>
        <v>0</v>
      </c>
      <c r="K33" s="91">
        <f t="shared" si="38"/>
        <v>0.1258</v>
      </c>
      <c r="L33" s="54">
        <f t="shared" ref="L33:L35" si="42">IF(I33=0,0,ROUND(I33*K33,-INT(LOG10(ABS(I33*K33)))+3))</f>
        <v>0</v>
      </c>
    </row>
    <row r="34" spans="1:12" ht="18.75" hidden="1" customHeight="1" x14ac:dyDescent="0.3">
      <c r="A34" s="17">
        <v>4000</v>
      </c>
      <c r="B34" s="17" t="s">
        <v>19</v>
      </c>
      <c r="C34" s="19">
        <v>90</v>
      </c>
      <c r="D34" s="17">
        <v>190</v>
      </c>
      <c r="E34" s="22">
        <f t="shared" si="37"/>
        <v>92</v>
      </c>
      <c r="F34" s="22">
        <f t="shared" si="37"/>
        <v>193</v>
      </c>
      <c r="G34" s="22">
        <f t="shared" si="39"/>
        <v>4050</v>
      </c>
      <c r="H34" s="55">
        <f t="shared" si="40"/>
        <v>6.8400000000000002E-2</v>
      </c>
      <c r="I34" s="18"/>
      <c r="J34" s="52">
        <f t="shared" si="41"/>
        <v>0</v>
      </c>
      <c r="K34" s="91">
        <f t="shared" si="38"/>
        <v>7.1910000000000002E-2</v>
      </c>
      <c r="L34" s="54">
        <f t="shared" si="42"/>
        <v>0</v>
      </c>
    </row>
    <row r="35" spans="1:12" ht="18.75" hidden="1" customHeight="1" x14ac:dyDescent="0.3">
      <c r="A35" s="17">
        <v>4000</v>
      </c>
      <c r="B35" s="17" t="s">
        <v>19</v>
      </c>
      <c r="C35" s="19">
        <v>48</v>
      </c>
      <c r="D35" s="17">
        <v>138</v>
      </c>
      <c r="E35" s="22">
        <f t="shared" si="37"/>
        <v>50</v>
      </c>
      <c r="F35" s="22">
        <f t="shared" si="37"/>
        <v>141</v>
      </c>
      <c r="G35" s="22">
        <f t="shared" si="39"/>
        <v>4050</v>
      </c>
      <c r="H35" s="55">
        <f t="shared" si="40"/>
        <v>2.6499999999999999E-2</v>
      </c>
      <c r="I35" s="18"/>
      <c r="J35" s="52">
        <f t="shared" si="41"/>
        <v>0</v>
      </c>
      <c r="K35" s="91">
        <f t="shared" si="38"/>
        <v>2.8549999999999999E-2</v>
      </c>
      <c r="L35" s="54">
        <f t="shared" si="42"/>
        <v>0</v>
      </c>
    </row>
    <row r="36" spans="1:12" ht="18.75" hidden="1" customHeight="1" x14ac:dyDescent="0.25">
      <c r="A36" s="30" t="s">
        <v>55</v>
      </c>
      <c r="B36" s="31" t="s">
        <v>23</v>
      </c>
      <c r="C36" s="32">
        <f>SUM(J11*L36/L41)</f>
        <v>0</v>
      </c>
      <c r="D36" s="38" t="s">
        <v>26</v>
      </c>
      <c r="E36" s="39" t="s">
        <v>24</v>
      </c>
      <c r="F36" s="41">
        <f>SUM(J11-C47)*L36/L41</f>
        <v>0</v>
      </c>
      <c r="G36" s="33" t="s">
        <v>26</v>
      </c>
      <c r="H36" s="22"/>
      <c r="I36" s="28">
        <f>SUM(I32:I35)</f>
        <v>0</v>
      </c>
      <c r="J36" s="77">
        <f>SUM(J32:J35)</f>
        <v>0</v>
      </c>
      <c r="K36" s="29"/>
      <c r="L36" s="78">
        <f>SUM(L32:L35)</f>
        <v>0</v>
      </c>
    </row>
    <row r="37" spans="1:12" ht="18.75" hidden="1" customHeight="1" x14ac:dyDescent="0.3">
      <c r="A37" s="204" t="s">
        <v>64</v>
      </c>
      <c r="B37" s="205"/>
      <c r="C37" s="205"/>
      <c r="D37" s="206"/>
      <c r="E37" s="22"/>
      <c r="F37" s="22"/>
      <c r="G37" s="22"/>
      <c r="H37" s="22"/>
      <c r="I37" s="22"/>
      <c r="J37" s="53"/>
      <c r="K37" s="29"/>
      <c r="L37" s="121"/>
    </row>
    <row r="38" spans="1:12" ht="18.75" hidden="1" x14ac:dyDescent="0.3">
      <c r="A38" s="17">
        <v>4000</v>
      </c>
      <c r="B38" s="42" t="s">
        <v>36</v>
      </c>
      <c r="C38" s="19">
        <v>150</v>
      </c>
      <c r="D38" s="17">
        <v>150</v>
      </c>
      <c r="E38" s="22">
        <f t="shared" ref="E38:F39" si="43">C38+VLOOKUP(C38,ПР,IF($A$1=1,2,3))</f>
        <v>153</v>
      </c>
      <c r="F38" s="22">
        <f t="shared" si="43"/>
        <v>153</v>
      </c>
      <c r="G38" s="22">
        <f>A38+50</f>
        <v>4050</v>
      </c>
      <c r="H38" s="55">
        <f>ROUND((C38*D38*A38*POWER(10,-9)),-INT(LOG10(ABS(C38*D38*A38*POWER(10,-9))))+3)</f>
        <v>0.09</v>
      </c>
      <c r="I38" s="18"/>
      <c r="J38" s="52">
        <f t="shared" ref="J38:J39" si="44">IF(I38=0,0,ROUND(H38*I38,-INT(LOG10(ABS(H38*I38)))+3))</f>
        <v>0</v>
      </c>
      <c r="K38" s="91">
        <f t="shared" ref="K38:K39" si="45">ROUND((F38*G38*E38*POWER(10,-9)),-INT(LOG10(ABS(F38*G38*E38*POWER(10,-9))))+3)</f>
        <v>9.4810000000000005E-2</v>
      </c>
      <c r="L38" s="54">
        <f>K38*I38</f>
        <v>0</v>
      </c>
    </row>
    <row r="39" spans="1:12" ht="18.75" hidden="1" customHeight="1" x14ac:dyDescent="0.3">
      <c r="A39" s="17">
        <v>4000</v>
      </c>
      <c r="B39" s="42" t="s">
        <v>36</v>
      </c>
      <c r="C39" s="19">
        <v>150</v>
      </c>
      <c r="D39" s="17">
        <v>200</v>
      </c>
      <c r="E39" s="22">
        <f t="shared" si="43"/>
        <v>153</v>
      </c>
      <c r="F39" s="22">
        <f t="shared" si="43"/>
        <v>203</v>
      </c>
      <c r="G39" s="22">
        <f t="shared" ref="G39" si="46">A39+50</f>
        <v>4050</v>
      </c>
      <c r="H39" s="55">
        <f t="shared" ref="H39" si="47">ROUND((C39*D39*A39*POWER(10,-9)),-INT(LOG10(ABS(C39*D39*A39*POWER(10,-9))))+3)</f>
        <v>0.12</v>
      </c>
      <c r="I39" s="18"/>
      <c r="J39" s="52">
        <f t="shared" si="44"/>
        <v>0</v>
      </c>
      <c r="K39" s="91">
        <f t="shared" si="45"/>
        <v>0.1258</v>
      </c>
      <c r="L39" s="54">
        <f t="shared" ref="L39" si="48">IF(I39=0,0,ROUND(I39*K39,-INT(LOG10(ABS(I39*K39)))+3))</f>
        <v>0</v>
      </c>
    </row>
    <row r="40" spans="1:12" ht="18.75" hidden="1" customHeight="1" x14ac:dyDescent="0.25">
      <c r="A40" s="36" t="s">
        <v>53</v>
      </c>
      <c r="B40" s="36" t="s">
        <v>25</v>
      </c>
      <c r="C40" s="37"/>
      <c r="D40" s="38" t="s">
        <v>26</v>
      </c>
      <c r="E40" s="39" t="s">
        <v>24</v>
      </c>
      <c r="F40" s="37">
        <f>SUM(J11-C47)*L40/L41</f>
        <v>0</v>
      </c>
      <c r="G40" s="40" t="s">
        <v>26</v>
      </c>
      <c r="H40" s="34"/>
      <c r="I40" s="28">
        <f>SUM(I38:I39)</f>
        <v>0</v>
      </c>
      <c r="J40" s="52">
        <f>SUM(J38:J39)</f>
        <v>0</v>
      </c>
      <c r="K40" s="35"/>
      <c r="L40" s="54">
        <f>SUM(L38:L39)</f>
        <v>0</v>
      </c>
    </row>
    <row r="41" spans="1:12" ht="18.75" x14ac:dyDescent="0.25">
      <c r="A41" s="30" t="s">
        <v>12</v>
      </c>
      <c r="B41" s="36" t="s">
        <v>23</v>
      </c>
      <c r="C41" s="37">
        <f>SUM(C22+C30+C36+C40)</f>
        <v>68000</v>
      </c>
      <c r="D41" s="38" t="s">
        <v>26</v>
      </c>
      <c r="E41" s="39" t="s">
        <v>24</v>
      </c>
      <c r="F41" s="37">
        <f>SUM(F22+F30+F36+F40)</f>
        <v>67000</v>
      </c>
      <c r="G41" s="40" t="s">
        <v>26</v>
      </c>
      <c r="H41" s="34"/>
      <c r="I41" s="104">
        <f>SUM(I22+I30+I36+I40)</f>
        <v>0</v>
      </c>
      <c r="J41" s="52">
        <f>SUM(J22+J30+J36+J40)</f>
        <v>0.13</v>
      </c>
      <c r="K41" s="35"/>
      <c r="L41" s="54">
        <f>SUM(L22+L30+L36+L40)</f>
        <v>0.1356</v>
      </c>
    </row>
    <row r="42" spans="1:12" customFormat="1" ht="19.5" customHeight="1" x14ac:dyDescent="0.2">
      <c r="A42" t="s">
        <v>44</v>
      </c>
      <c r="L42" s="122"/>
    </row>
    <row r="43" spans="1:12" customFormat="1" ht="20.100000000000001" customHeight="1" x14ac:dyDescent="0.2">
      <c r="A43" s="202" t="s">
        <v>45</v>
      </c>
      <c r="B43" s="202"/>
      <c r="C43" s="202" t="s">
        <v>46</v>
      </c>
      <c r="D43" s="202"/>
      <c r="E43" s="74"/>
      <c r="F43" s="75"/>
      <c r="G43" s="75"/>
      <c r="H43" s="75"/>
    </row>
    <row r="44" spans="1:12" customFormat="1" ht="20.100000000000001" customHeight="1" x14ac:dyDescent="0.2">
      <c r="A44" s="202" t="s">
        <v>47</v>
      </c>
      <c r="B44" s="202"/>
      <c r="C44" s="202" t="s">
        <v>48</v>
      </c>
      <c r="D44" s="202"/>
      <c r="E44" s="74"/>
      <c r="F44" s="75"/>
      <c r="G44" s="75"/>
      <c r="H44" s="75"/>
    </row>
    <row r="45" spans="1:12" customFormat="1" ht="20.100000000000001" customHeight="1" x14ac:dyDescent="0.25">
      <c r="A45" s="202" t="s">
        <v>49</v>
      </c>
      <c r="B45" s="202"/>
      <c r="C45" s="108" t="s">
        <v>50</v>
      </c>
      <c r="D45" s="76"/>
      <c r="E45" s="75"/>
      <c r="F45" s="75"/>
      <c r="G45" s="75"/>
      <c r="H45" s="75"/>
    </row>
    <row r="46" spans="1:12" customFormat="1" ht="20.100000000000001" customHeight="1" x14ac:dyDescent="0.25">
      <c r="A46" s="202" t="s">
        <v>51</v>
      </c>
      <c r="B46" s="202"/>
      <c r="C46" s="108" t="s">
        <v>52</v>
      </c>
      <c r="D46" s="76"/>
      <c r="E46" s="75"/>
      <c r="F46" s="75"/>
      <c r="G46" s="75"/>
      <c r="H46" s="75"/>
    </row>
    <row r="47" spans="1:12" customFormat="1" ht="20.100000000000001" customHeight="1" x14ac:dyDescent="0.25">
      <c r="A47" s="76" t="s">
        <v>34</v>
      </c>
      <c r="B47" s="76"/>
      <c r="C47" s="76">
        <v>1000</v>
      </c>
      <c r="D47" s="76" t="s">
        <v>26</v>
      </c>
      <c r="E47" s="60"/>
      <c r="F47" s="75"/>
      <c r="G47" s="75"/>
      <c r="H47" s="75"/>
    </row>
    <row r="48" spans="1:12" customFormat="1" ht="20.100000000000001" customHeight="1" x14ac:dyDescent="0.25">
      <c r="A48" s="76"/>
      <c r="B48" s="76"/>
      <c r="C48" s="76"/>
      <c r="D48" s="76"/>
      <c r="E48" s="60"/>
      <c r="F48" s="75"/>
      <c r="G48" s="75"/>
      <c r="H48" s="75"/>
    </row>
    <row r="49" spans="1:11" customFormat="1" ht="18" customHeight="1" x14ac:dyDescent="0.25">
      <c r="A49" s="193" t="s">
        <v>35</v>
      </c>
      <c r="B49" s="193"/>
      <c r="C49" s="193"/>
      <c r="D49" s="193"/>
      <c r="E49" s="64"/>
      <c r="F49" s="203" t="s">
        <v>59</v>
      </c>
      <c r="G49" s="203"/>
      <c r="H49" s="203"/>
      <c r="I49" s="203"/>
      <c r="J49" s="203"/>
      <c r="K49" s="203"/>
    </row>
    <row r="50" spans="1:11" customFormat="1" ht="18.75" customHeight="1" x14ac:dyDescent="0.2"/>
  </sheetData>
  <mergeCells count="30">
    <mergeCell ref="A11:B11"/>
    <mergeCell ref="C11:E11"/>
    <mergeCell ref="C2:K2"/>
    <mergeCell ref="C3:K3"/>
    <mergeCell ref="F5:I5"/>
    <mergeCell ref="A7:L7"/>
    <mergeCell ref="A10:C10"/>
    <mergeCell ref="L13:L14"/>
    <mergeCell ref="A12:B12"/>
    <mergeCell ref="C12:D12"/>
    <mergeCell ref="A13:A14"/>
    <mergeCell ref="B13:B14"/>
    <mergeCell ref="C13:C14"/>
    <mergeCell ref="D13:D14"/>
    <mergeCell ref="E13:E14"/>
    <mergeCell ref="F13:F14"/>
    <mergeCell ref="G13:G14"/>
    <mergeCell ref="I13:I14"/>
    <mergeCell ref="J13:J14"/>
    <mergeCell ref="A15:D15"/>
    <mergeCell ref="A37:D37"/>
    <mergeCell ref="A43:B43"/>
    <mergeCell ref="C43:D43"/>
    <mergeCell ref="A44:B44"/>
    <mergeCell ref="C44:D44"/>
    <mergeCell ref="A45:B45"/>
    <mergeCell ref="A46:B46"/>
    <mergeCell ref="A49:D49"/>
    <mergeCell ref="F49:H49"/>
    <mergeCell ref="I49:K49"/>
  </mergeCells>
  <pageMargins left="0.74803149606299213" right="0.15748031496062992" top="0.15748031496062992" bottom="0.27559055118110237" header="0.51181102362204722" footer="0.51181102362204722"/>
  <pageSetup paperSize="9" scale="66" orientation="landscape" horizontalDpi="120" verticalDpi="144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O49"/>
  <sheetViews>
    <sheetView workbookViewId="0">
      <selection activeCell="O2" sqref="O2"/>
    </sheetView>
  </sheetViews>
  <sheetFormatPr defaultRowHeight="12.75" x14ac:dyDescent="0.2"/>
  <cols>
    <col min="1" max="4" width="9.140625" style="43"/>
    <col min="5" max="5" width="9.140625" style="44"/>
    <col min="6" max="7" width="9.140625" style="43"/>
    <col min="8" max="8" width="9.140625" style="45"/>
    <col min="9" max="16384" width="9.140625" style="43"/>
  </cols>
  <sheetData>
    <row r="2" spans="4:15" x14ac:dyDescent="0.2">
      <c r="D2" s="43" t="s">
        <v>30</v>
      </c>
      <c r="N2" s="43">
        <v>100</v>
      </c>
      <c r="O2">
        <f>VLOOKUP(N2,ПР,IF(A1=1,2,3))</f>
        <v>3.2</v>
      </c>
    </row>
    <row r="3" spans="4:15" x14ac:dyDescent="0.2">
      <c r="K3" t="s">
        <v>10</v>
      </c>
      <c r="L3" s="44"/>
      <c r="M3" t="s">
        <v>31</v>
      </c>
      <c r="N3" s="45"/>
    </row>
    <row r="4" spans="4:15" x14ac:dyDescent="0.2">
      <c r="D4" s="48"/>
      <c r="E4" s="49"/>
      <c r="F4" t="s">
        <v>10</v>
      </c>
      <c r="G4" t="s">
        <v>31</v>
      </c>
      <c r="K4" s="48"/>
      <c r="L4" s="49"/>
      <c r="M4" s="46"/>
      <c r="N4" s="47"/>
    </row>
    <row r="5" spans="4:15" x14ac:dyDescent="0.2">
      <c r="D5" s="50">
        <v>13</v>
      </c>
      <c r="E5" s="43">
        <v>1</v>
      </c>
      <c r="F5" s="46">
        <v>1.2</v>
      </c>
      <c r="G5" s="45">
        <v>1.3</v>
      </c>
      <c r="K5" s="50">
        <v>13</v>
      </c>
      <c r="L5" s="51">
        <v>0.2</v>
      </c>
      <c r="M5" s="46">
        <v>13</v>
      </c>
      <c r="N5" s="47">
        <v>0.3</v>
      </c>
    </row>
    <row r="6" spans="4:15" x14ac:dyDescent="0.2">
      <c r="D6" s="50">
        <v>16</v>
      </c>
      <c r="E6" s="43">
        <v>1</v>
      </c>
      <c r="F6" s="46">
        <v>1.2</v>
      </c>
      <c r="G6" s="45">
        <v>1.3</v>
      </c>
      <c r="K6" s="50">
        <v>16</v>
      </c>
      <c r="L6" s="51">
        <v>0.2</v>
      </c>
      <c r="M6" s="46">
        <v>16</v>
      </c>
      <c r="N6" s="47">
        <v>0.3</v>
      </c>
    </row>
    <row r="7" spans="4:15" x14ac:dyDescent="0.2">
      <c r="D7" s="50">
        <v>19</v>
      </c>
      <c r="E7" s="43">
        <v>1</v>
      </c>
      <c r="F7" s="46">
        <v>1.2</v>
      </c>
      <c r="G7" s="45">
        <v>1.3</v>
      </c>
      <c r="K7" s="50">
        <v>19</v>
      </c>
      <c r="L7" s="51">
        <v>0.2</v>
      </c>
      <c r="M7" s="46">
        <v>19</v>
      </c>
      <c r="N7" s="47">
        <v>0.3</v>
      </c>
    </row>
    <row r="8" spans="4:15" x14ac:dyDescent="0.2">
      <c r="D8" s="50">
        <v>22</v>
      </c>
      <c r="E8" s="43">
        <v>1</v>
      </c>
      <c r="F8" s="46">
        <v>1.3</v>
      </c>
      <c r="G8" s="45">
        <v>1.4</v>
      </c>
      <c r="K8" s="50">
        <v>22</v>
      </c>
      <c r="L8" s="51">
        <v>0.3</v>
      </c>
      <c r="M8" s="46">
        <v>22</v>
      </c>
      <c r="N8" s="47">
        <v>0.4</v>
      </c>
    </row>
    <row r="9" spans="4:15" x14ac:dyDescent="0.2">
      <c r="D9" s="50">
        <v>25</v>
      </c>
      <c r="E9" s="43">
        <v>1</v>
      </c>
      <c r="F9" s="46">
        <v>1.4</v>
      </c>
      <c r="G9" s="45">
        <v>1.4</v>
      </c>
      <c r="K9" s="50">
        <v>25</v>
      </c>
      <c r="L9" s="51">
        <v>0.4</v>
      </c>
      <c r="M9" s="46">
        <v>25</v>
      </c>
      <c r="N9" s="47">
        <v>0.4</v>
      </c>
    </row>
    <row r="10" spans="4:15" x14ac:dyDescent="0.2">
      <c r="D10" s="50">
        <v>28</v>
      </c>
      <c r="E10" s="43">
        <v>1</v>
      </c>
      <c r="F10" s="46">
        <v>1.4</v>
      </c>
      <c r="G10" s="45">
        <v>1.5</v>
      </c>
      <c r="K10" s="50">
        <v>28</v>
      </c>
      <c r="L10" s="51">
        <v>0.4</v>
      </c>
      <c r="M10" s="46">
        <v>28</v>
      </c>
      <c r="N10" s="47">
        <v>0.5</v>
      </c>
    </row>
    <row r="11" spans="4:15" x14ac:dyDescent="0.2">
      <c r="D11" s="50">
        <v>32</v>
      </c>
      <c r="E11" s="43">
        <v>1</v>
      </c>
      <c r="F11" s="46">
        <v>1.4</v>
      </c>
      <c r="G11" s="45">
        <v>1.5</v>
      </c>
      <c r="K11" s="50">
        <v>32</v>
      </c>
      <c r="L11" s="51">
        <v>0.4</v>
      </c>
      <c r="M11" s="46">
        <v>32</v>
      </c>
      <c r="N11" s="47">
        <v>0.5</v>
      </c>
    </row>
    <row r="12" spans="4:15" x14ac:dyDescent="0.2">
      <c r="D12" s="50">
        <v>40</v>
      </c>
      <c r="E12" s="43">
        <v>2</v>
      </c>
      <c r="F12" s="46">
        <v>2.5</v>
      </c>
      <c r="G12" s="45">
        <v>2.6</v>
      </c>
      <c r="K12" s="50">
        <v>40</v>
      </c>
      <c r="L12" s="51">
        <v>0.5</v>
      </c>
      <c r="M12" s="46">
        <v>40</v>
      </c>
      <c r="N12" s="47">
        <v>0.6</v>
      </c>
    </row>
    <row r="13" spans="4:15" x14ac:dyDescent="0.2">
      <c r="D13" s="50">
        <v>45</v>
      </c>
      <c r="E13" s="43">
        <v>2</v>
      </c>
      <c r="F13" s="46">
        <v>2.6</v>
      </c>
      <c r="G13" s="45">
        <v>2.7</v>
      </c>
      <c r="K13" s="50">
        <v>45</v>
      </c>
      <c r="L13" s="51">
        <v>0.6</v>
      </c>
      <c r="M13" s="46">
        <v>45</v>
      </c>
      <c r="N13" s="47">
        <v>0.7</v>
      </c>
    </row>
    <row r="14" spans="4:15" x14ac:dyDescent="0.2">
      <c r="D14" s="50">
        <v>50</v>
      </c>
      <c r="E14" s="43">
        <v>2</v>
      </c>
      <c r="F14" s="46">
        <v>2.6</v>
      </c>
      <c r="G14" s="45">
        <v>2.8</v>
      </c>
      <c r="K14" s="50">
        <v>50</v>
      </c>
      <c r="L14" s="51">
        <v>0.6</v>
      </c>
      <c r="M14" s="46">
        <v>50</v>
      </c>
      <c r="N14" s="47">
        <v>0.8</v>
      </c>
    </row>
    <row r="15" spans="4:15" x14ac:dyDescent="0.2">
      <c r="D15" s="50">
        <v>56</v>
      </c>
      <c r="E15" s="43">
        <v>2</v>
      </c>
      <c r="F15" s="46">
        <v>2.7</v>
      </c>
      <c r="G15" s="45">
        <v>2.9</v>
      </c>
      <c r="K15" s="50">
        <v>56</v>
      </c>
      <c r="L15" s="51">
        <v>0.7</v>
      </c>
      <c r="M15" s="46">
        <v>56</v>
      </c>
      <c r="N15" s="47">
        <v>0.9</v>
      </c>
    </row>
    <row r="16" spans="4:15" x14ac:dyDescent="0.2">
      <c r="D16" s="50">
        <v>60</v>
      </c>
      <c r="E16" s="43">
        <v>2</v>
      </c>
      <c r="F16" s="46">
        <v>2.8</v>
      </c>
      <c r="G16" s="45">
        <v>3</v>
      </c>
      <c r="K16" s="50">
        <v>60</v>
      </c>
      <c r="L16" s="51">
        <v>0.8</v>
      </c>
      <c r="M16" s="46">
        <v>60</v>
      </c>
      <c r="N16" s="47">
        <v>1</v>
      </c>
    </row>
    <row r="17" spans="4:14" x14ac:dyDescent="0.2">
      <c r="D17" s="50">
        <v>63</v>
      </c>
      <c r="E17" s="43">
        <v>2</v>
      </c>
      <c r="F17" s="46">
        <v>2.8</v>
      </c>
      <c r="G17" s="45">
        <v>3</v>
      </c>
      <c r="K17" s="50">
        <v>63</v>
      </c>
      <c r="L17" s="51">
        <v>0.8</v>
      </c>
      <c r="M17" s="46">
        <v>63</v>
      </c>
      <c r="N17" s="47">
        <v>1</v>
      </c>
    </row>
    <row r="18" spans="4:14" x14ac:dyDescent="0.2">
      <c r="D18" s="50">
        <v>66</v>
      </c>
      <c r="E18" s="43">
        <v>2</v>
      </c>
      <c r="F18" s="46">
        <v>2.9</v>
      </c>
      <c r="G18" s="45">
        <v>3</v>
      </c>
      <c r="K18" s="50">
        <v>66</v>
      </c>
      <c r="L18" s="51">
        <v>0.9</v>
      </c>
      <c r="M18" s="46">
        <v>66</v>
      </c>
      <c r="N18" s="47">
        <v>1</v>
      </c>
    </row>
    <row r="19" spans="4:14" x14ac:dyDescent="0.2">
      <c r="D19" s="50">
        <v>70</v>
      </c>
      <c r="E19" s="43">
        <v>2</v>
      </c>
      <c r="F19" s="46">
        <v>2.9</v>
      </c>
      <c r="G19" s="45">
        <v>3.1</v>
      </c>
      <c r="K19" s="50">
        <v>70</v>
      </c>
      <c r="L19" s="51">
        <v>0.9</v>
      </c>
      <c r="M19" s="46">
        <v>70</v>
      </c>
      <c r="N19" s="47">
        <v>1.1000000000000001</v>
      </c>
    </row>
    <row r="20" spans="4:14" x14ac:dyDescent="0.2">
      <c r="D20" s="50">
        <v>75</v>
      </c>
      <c r="E20" s="43">
        <v>2</v>
      </c>
      <c r="F20" s="46">
        <v>3</v>
      </c>
      <c r="G20" s="45">
        <v>3.2</v>
      </c>
      <c r="K20" s="50">
        <v>75</v>
      </c>
      <c r="L20" s="51">
        <v>1</v>
      </c>
      <c r="M20" s="46">
        <v>75</v>
      </c>
      <c r="N20" s="47">
        <v>1.2</v>
      </c>
    </row>
    <row r="21" spans="4:14" x14ac:dyDescent="0.2">
      <c r="D21" s="50">
        <v>80</v>
      </c>
      <c r="E21" s="43">
        <v>2</v>
      </c>
      <c r="F21" s="46">
        <v>3</v>
      </c>
      <c r="G21" s="45">
        <v>3.3</v>
      </c>
      <c r="K21" s="50">
        <v>80</v>
      </c>
      <c r="L21" s="51">
        <v>1</v>
      </c>
      <c r="M21" s="46">
        <v>80</v>
      </c>
      <c r="N21" s="47">
        <v>1.3</v>
      </c>
    </row>
    <row r="22" spans="4:14" x14ac:dyDescent="0.2">
      <c r="D22" s="50">
        <v>86</v>
      </c>
      <c r="E22" s="43">
        <v>2</v>
      </c>
      <c r="F22" s="46">
        <v>3.1</v>
      </c>
      <c r="G22" s="45">
        <v>3.4</v>
      </c>
      <c r="K22" s="50">
        <v>86</v>
      </c>
      <c r="L22" s="51">
        <v>1.1000000000000001</v>
      </c>
      <c r="M22" s="46">
        <v>86</v>
      </c>
      <c r="N22" s="47">
        <v>1.4</v>
      </c>
    </row>
    <row r="23" spans="4:14" x14ac:dyDescent="0.2">
      <c r="D23" s="50">
        <v>90</v>
      </c>
      <c r="E23" s="43">
        <v>2</v>
      </c>
      <c r="F23" s="46">
        <v>3.2</v>
      </c>
      <c r="G23" s="45">
        <v>3.4</v>
      </c>
      <c r="K23" s="50">
        <v>90</v>
      </c>
      <c r="L23" s="51">
        <v>1.2</v>
      </c>
      <c r="M23" s="46">
        <v>90</v>
      </c>
      <c r="N23" s="47">
        <v>1.4</v>
      </c>
    </row>
    <row r="24" spans="4:14" x14ac:dyDescent="0.2">
      <c r="D24" s="50">
        <v>96</v>
      </c>
      <c r="E24" s="43">
        <v>2</v>
      </c>
      <c r="F24" s="46">
        <v>3.2</v>
      </c>
      <c r="G24" s="45">
        <v>3.4</v>
      </c>
      <c r="K24" s="50">
        <v>96</v>
      </c>
      <c r="L24" s="51">
        <v>1.2</v>
      </c>
      <c r="M24" s="46">
        <v>96</v>
      </c>
      <c r="N24" s="47">
        <v>1.4</v>
      </c>
    </row>
    <row r="25" spans="4:14" x14ac:dyDescent="0.2">
      <c r="D25" s="50">
        <v>100</v>
      </c>
      <c r="E25" s="43">
        <v>2</v>
      </c>
      <c r="F25" s="46">
        <v>3.2</v>
      </c>
      <c r="G25" s="45">
        <v>3.5</v>
      </c>
      <c r="K25" s="50">
        <v>100</v>
      </c>
      <c r="L25" s="51">
        <v>1.2</v>
      </c>
      <c r="M25" s="46">
        <v>100</v>
      </c>
      <c r="N25" s="47">
        <v>1.5</v>
      </c>
    </row>
    <row r="26" spans="4:14" x14ac:dyDescent="0.2">
      <c r="D26" s="50">
        <v>110</v>
      </c>
      <c r="E26" s="43">
        <v>3</v>
      </c>
      <c r="F26" s="46">
        <v>4.3</v>
      </c>
      <c r="G26" s="45">
        <v>4.5999999999999996</v>
      </c>
      <c r="K26" s="50">
        <v>110</v>
      </c>
      <c r="L26" s="51">
        <v>1.3</v>
      </c>
      <c r="M26" s="46">
        <v>110</v>
      </c>
      <c r="N26" s="47">
        <v>1.6</v>
      </c>
    </row>
    <row r="27" spans="4:14" x14ac:dyDescent="0.2">
      <c r="D27" s="50">
        <v>116</v>
      </c>
      <c r="E27" s="43">
        <v>3</v>
      </c>
      <c r="F27" s="46">
        <v>4.4000000000000004</v>
      </c>
      <c r="G27" s="45">
        <v>4.7</v>
      </c>
      <c r="K27" s="50">
        <v>116</v>
      </c>
      <c r="L27" s="51">
        <v>1.4</v>
      </c>
      <c r="M27" s="46">
        <v>116</v>
      </c>
      <c r="N27" s="47">
        <v>1.7</v>
      </c>
    </row>
    <row r="28" spans="4:14" x14ac:dyDescent="0.2">
      <c r="D28" s="50">
        <v>120</v>
      </c>
      <c r="E28" s="43">
        <v>3</v>
      </c>
      <c r="F28" s="46">
        <v>4.4000000000000004</v>
      </c>
      <c r="G28" s="45">
        <v>4.8</v>
      </c>
      <c r="K28" s="50">
        <v>120</v>
      </c>
      <c r="L28" s="51">
        <v>1.4</v>
      </c>
      <c r="M28" s="46">
        <v>120</v>
      </c>
      <c r="N28" s="47">
        <v>1.8</v>
      </c>
    </row>
    <row r="29" spans="4:14" x14ac:dyDescent="0.2">
      <c r="D29" s="50">
        <v>125</v>
      </c>
      <c r="E29" s="43">
        <v>3</v>
      </c>
      <c r="F29" s="46">
        <v>4.5</v>
      </c>
      <c r="G29" s="45">
        <v>4.9000000000000004</v>
      </c>
      <c r="K29" s="50">
        <v>125</v>
      </c>
      <c r="L29" s="51">
        <v>1.5</v>
      </c>
      <c r="M29" s="46">
        <v>125</v>
      </c>
      <c r="N29" s="47">
        <v>1.9</v>
      </c>
    </row>
    <row r="30" spans="4:14" x14ac:dyDescent="0.2">
      <c r="D30" s="50">
        <v>130</v>
      </c>
      <c r="E30" s="43">
        <v>3</v>
      </c>
      <c r="F30" s="46">
        <v>4.5999999999999996</v>
      </c>
      <c r="G30" s="45">
        <v>5</v>
      </c>
      <c r="K30" s="50">
        <v>130</v>
      </c>
      <c r="L30" s="51">
        <v>1.6</v>
      </c>
      <c r="M30" s="46">
        <v>130</v>
      </c>
      <c r="N30" s="47">
        <v>2</v>
      </c>
    </row>
    <row r="31" spans="4:14" x14ac:dyDescent="0.2">
      <c r="D31" s="50">
        <v>140</v>
      </c>
      <c r="E31" s="43">
        <v>3</v>
      </c>
      <c r="F31" s="46">
        <v>4.7</v>
      </c>
      <c r="G31" s="45">
        <v>5.0999999999999996</v>
      </c>
      <c r="K31" s="50">
        <v>140</v>
      </c>
      <c r="L31" s="51">
        <v>1.7</v>
      </c>
      <c r="M31" s="46">
        <v>140</v>
      </c>
      <c r="N31" s="47">
        <v>2.1</v>
      </c>
    </row>
    <row r="32" spans="4:14" x14ac:dyDescent="0.2">
      <c r="D32" s="50">
        <v>150</v>
      </c>
      <c r="E32" s="43">
        <v>3</v>
      </c>
      <c r="F32" s="46">
        <v>4.7</v>
      </c>
      <c r="G32" s="45">
        <v>5.0999999999999996</v>
      </c>
      <c r="K32" s="50">
        <v>150</v>
      </c>
      <c r="L32" s="51">
        <v>1.7</v>
      </c>
      <c r="M32" s="46">
        <v>150</v>
      </c>
      <c r="N32" s="47">
        <v>2.1</v>
      </c>
    </row>
    <row r="33" spans="4:14" x14ac:dyDescent="0.2">
      <c r="D33" s="50">
        <v>160</v>
      </c>
      <c r="E33" s="43">
        <v>3</v>
      </c>
      <c r="F33" s="46">
        <v>4.8</v>
      </c>
      <c r="G33" s="45">
        <v>5.2</v>
      </c>
      <c r="K33" s="50">
        <v>160</v>
      </c>
      <c r="L33" s="51">
        <v>1.8</v>
      </c>
      <c r="M33" s="46">
        <v>160</v>
      </c>
      <c r="N33" s="47">
        <v>2.2000000000000002</v>
      </c>
    </row>
    <row r="34" spans="4:14" x14ac:dyDescent="0.2">
      <c r="D34" s="50">
        <v>165</v>
      </c>
      <c r="E34" s="43">
        <v>3</v>
      </c>
      <c r="F34" s="46">
        <v>4.8</v>
      </c>
      <c r="G34" s="45">
        <v>5.3</v>
      </c>
      <c r="K34" s="50">
        <v>165</v>
      </c>
      <c r="L34" s="51">
        <v>1.8</v>
      </c>
      <c r="M34" s="46">
        <v>165</v>
      </c>
      <c r="N34" s="47">
        <v>2.2999999999999998</v>
      </c>
    </row>
    <row r="35" spans="4:14" x14ac:dyDescent="0.2">
      <c r="D35" s="50">
        <v>170</v>
      </c>
      <c r="E35" s="43">
        <v>3</v>
      </c>
      <c r="F35" s="46">
        <v>4.8</v>
      </c>
      <c r="G35" s="45">
        <v>5.4</v>
      </c>
      <c r="K35" s="50">
        <v>170</v>
      </c>
      <c r="L35" s="51">
        <v>1.8</v>
      </c>
      <c r="M35" s="46">
        <v>170</v>
      </c>
      <c r="N35" s="47">
        <v>2.4</v>
      </c>
    </row>
    <row r="36" spans="4:14" x14ac:dyDescent="0.2">
      <c r="D36" s="50">
        <v>180</v>
      </c>
      <c r="E36" s="43">
        <v>3</v>
      </c>
      <c r="F36" s="46">
        <v>4.8</v>
      </c>
      <c r="G36" s="45">
        <v>5.5</v>
      </c>
      <c r="K36" s="50">
        <v>180</v>
      </c>
      <c r="L36" s="51">
        <v>1.8</v>
      </c>
      <c r="M36" s="46">
        <v>180</v>
      </c>
      <c r="N36" s="47">
        <v>2.5</v>
      </c>
    </row>
    <row r="37" spans="4:14" x14ac:dyDescent="0.2">
      <c r="D37" s="50">
        <v>190</v>
      </c>
      <c r="E37" s="43">
        <v>3</v>
      </c>
      <c r="F37" s="46">
        <v>4.9000000000000004</v>
      </c>
      <c r="G37" s="45">
        <v>5.7</v>
      </c>
      <c r="K37" s="50">
        <v>190</v>
      </c>
      <c r="L37" s="51">
        <v>1.9</v>
      </c>
      <c r="M37" s="46">
        <v>190</v>
      </c>
      <c r="N37" s="47">
        <v>2.7</v>
      </c>
    </row>
    <row r="38" spans="4:14" x14ac:dyDescent="0.2">
      <c r="D38" s="50">
        <v>200</v>
      </c>
      <c r="E38" s="43">
        <v>3</v>
      </c>
      <c r="F38" s="46">
        <v>5</v>
      </c>
      <c r="G38" s="45">
        <v>5.8</v>
      </c>
      <c r="K38" s="50">
        <v>200</v>
      </c>
      <c r="L38" s="51">
        <v>2</v>
      </c>
      <c r="M38" s="46">
        <v>200</v>
      </c>
      <c r="N38" s="47">
        <v>2.8</v>
      </c>
    </row>
    <row r="39" spans="4:14" x14ac:dyDescent="0.2">
      <c r="D39" s="50">
        <v>210</v>
      </c>
      <c r="E39" s="43">
        <v>3</v>
      </c>
      <c r="F39" s="46">
        <v>5.0999999999999996</v>
      </c>
      <c r="G39" s="45">
        <v>5.9</v>
      </c>
      <c r="K39" s="50">
        <v>210</v>
      </c>
      <c r="L39" s="51">
        <v>2.1</v>
      </c>
      <c r="M39" s="46">
        <v>210</v>
      </c>
      <c r="N39" s="47">
        <v>2.9</v>
      </c>
    </row>
    <row r="40" spans="4:14" x14ac:dyDescent="0.2">
      <c r="D40" s="50">
        <v>220</v>
      </c>
      <c r="E40" s="43">
        <v>3</v>
      </c>
      <c r="F40" s="46">
        <v>5.2</v>
      </c>
      <c r="G40" s="45">
        <v>5.9</v>
      </c>
      <c r="K40" s="50">
        <v>220</v>
      </c>
      <c r="L40" s="51">
        <v>2.2000000000000002</v>
      </c>
      <c r="M40" s="46">
        <v>220</v>
      </c>
      <c r="N40" s="47">
        <v>2.9</v>
      </c>
    </row>
    <row r="41" spans="4:14" x14ac:dyDescent="0.2">
      <c r="D41" s="50">
        <v>230</v>
      </c>
      <c r="E41" s="43">
        <v>3</v>
      </c>
      <c r="F41" s="46">
        <v>5.3</v>
      </c>
      <c r="G41" s="45">
        <v>6</v>
      </c>
      <c r="K41" s="50">
        <v>230</v>
      </c>
      <c r="L41" s="51">
        <v>2.2999999999999998</v>
      </c>
      <c r="M41" s="46">
        <v>230</v>
      </c>
      <c r="N41" s="47">
        <v>3</v>
      </c>
    </row>
    <row r="42" spans="4:14" x14ac:dyDescent="0.2">
      <c r="D42" s="50">
        <v>240</v>
      </c>
      <c r="E42" s="43">
        <v>3</v>
      </c>
      <c r="F42" s="46">
        <v>5.4</v>
      </c>
      <c r="G42" s="45">
        <v>6.1</v>
      </c>
      <c r="K42" s="50">
        <v>240</v>
      </c>
      <c r="L42" s="51">
        <v>2.4</v>
      </c>
      <c r="M42" s="46">
        <v>240</v>
      </c>
      <c r="N42" s="47">
        <v>3.1</v>
      </c>
    </row>
    <row r="43" spans="4:14" x14ac:dyDescent="0.2">
      <c r="D43" s="50">
        <v>250</v>
      </c>
      <c r="E43" s="43">
        <v>3</v>
      </c>
      <c r="F43" s="46">
        <v>5.5</v>
      </c>
      <c r="G43" s="45">
        <v>6.2</v>
      </c>
      <c r="K43" s="50">
        <v>250</v>
      </c>
      <c r="L43" s="51">
        <v>2.5</v>
      </c>
      <c r="M43" s="46">
        <v>250</v>
      </c>
      <c r="N43" s="47">
        <v>3.2</v>
      </c>
    </row>
    <row r="44" spans="4:14" x14ac:dyDescent="0.2">
      <c r="D44" s="50">
        <v>254</v>
      </c>
      <c r="E44" s="43">
        <v>3</v>
      </c>
      <c r="F44" s="46">
        <v>5.5</v>
      </c>
      <c r="G44" s="45">
        <v>6.3</v>
      </c>
      <c r="K44" s="50">
        <v>254</v>
      </c>
      <c r="L44" s="51">
        <v>2.5</v>
      </c>
      <c r="M44" s="46">
        <v>254</v>
      </c>
      <c r="N44" s="47">
        <v>3.3</v>
      </c>
    </row>
    <row r="45" spans="4:14" x14ac:dyDescent="0.2">
      <c r="D45" s="50">
        <v>260</v>
      </c>
      <c r="E45" s="43">
        <v>3</v>
      </c>
      <c r="F45" s="46">
        <v>5.6</v>
      </c>
      <c r="G45" s="45">
        <v>6.4</v>
      </c>
      <c r="K45" s="50">
        <v>260</v>
      </c>
      <c r="L45" s="51">
        <v>2.6</v>
      </c>
      <c r="M45" s="46">
        <v>260</v>
      </c>
      <c r="N45" s="47">
        <v>3.4</v>
      </c>
    </row>
    <row r="46" spans="4:14" x14ac:dyDescent="0.2">
      <c r="D46" s="50">
        <v>270</v>
      </c>
      <c r="E46" s="43">
        <v>3</v>
      </c>
      <c r="F46" s="46">
        <v>5.7</v>
      </c>
      <c r="G46" s="45">
        <v>6.5</v>
      </c>
      <c r="K46" s="50">
        <v>270</v>
      </c>
      <c r="L46" s="51">
        <v>2.7</v>
      </c>
      <c r="M46" s="46">
        <v>270</v>
      </c>
      <c r="N46" s="47">
        <v>3.5</v>
      </c>
    </row>
    <row r="47" spans="4:14" x14ac:dyDescent="0.2">
      <c r="D47" s="50">
        <v>280</v>
      </c>
      <c r="E47" s="43">
        <v>3</v>
      </c>
      <c r="F47" s="46">
        <v>5.8</v>
      </c>
      <c r="G47" s="45">
        <v>6.6</v>
      </c>
      <c r="K47" s="50">
        <v>280</v>
      </c>
      <c r="L47" s="51">
        <v>2.8</v>
      </c>
      <c r="M47" s="46">
        <v>280</v>
      </c>
      <c r="N47" s="47">
        <v>3.6</v>
      </c>
    </row>
    <row r="48" spans="4:14" x14ac:dyDescent="0.2">
      <c r="D48" s="50">
        <v>290</v>
      </c>
      <c r="E48" s="43">
        <v>3</v>
      </c>
      <c r="F48" s="46">
        <v>5.9</v>
      </c>
      <c r="G48" s="45">
        <v>6.8</v>
      </c>
      <c r="K48" s="50">
        <v>290</v>
      </c>
      <c r="L48" s="51">
        <v>2.9</v>
      </c>
      <c r="M48" s="46">
        <v>290</v>
      </c>
      <c r="N48" s="47">
        <v>3.8</v>
      </c>
    </row>
    <row r="49" spans="4:14" x14ac:dyDescent="0.2">
      <c r="D49" s="50">
        <v>300</v>
      </c>
      <c r="E49" s="43">
        <v>3</v>
      </c>
      <c r="F49" s="46">
        <v>6</v>
      </c>
      <c r="G49" s="45">
        <v>6.9</v>
      </c>
      <c r="K49" s="50">
        <v>300</v>
      </c>
      <c r="L49" s="51">
        <v>3</v>
      </c>
      <c r="M49" s="46">
        <v>300</v>
      </c>
      <c r="N49" s="47">
        <v>3.9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СЧЕТ-ФАКТУРА</vt:lpstr>
      <vt:lpstr>СП 1</vt:lpstr>
      <vt:lpstr>СП2</vt:lpstr>
      <vt:lpstr>Лист1</vt:lpstr>
      <vt:lpstr>ПР</vt:lpstr>
    </vt:vector>
  </TitlesOfParts>
  <Company>Sam-Sam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Лёша</dc:creator>
  <cp:lastModifiedBy>chip</cp:lastModifiedBy>
  <cp:lastPrinted>2020-04-07T03:41:50Z</cp:lastPrinted>
  <dcterms:created xsi:type="dcterms:W3CDTF">2000-11-30T05:14:35Z</dcterms:created>
  <dcterms:modified xsi:type="dcterms:W3CDTF">2020-05-20T16:28:24Z</dcterms:modified>
</cp:coreProperties>
</file>