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le\Desktop\Dimple\08_ALTRAN\01_Work\Wind Turbine_MBSE Design\01_WT_MBSE\Aerodynamics Modeling\"/>
    </mc:Choice>
  </mc:AlternateContent>
  <xr:revisionPtr revIDLastSave="0" documentId="13_ncr:1_{E6AD5B37-17DA-4D30-AE99-4A2F7C1110E6}" xr6:coauthVersionLast="47" xr6:coauthVersionMax="47" xr10:uidLastSave="{00000000-0000-0000-0000-000000000000}"/>
  <bookViews>
    <workbookView xWindow="-110" yWindow="-110" windowWidth="19420" windowHeight="10420" firstSheet="4" activeTab="9" xr2:uid="{E196C31F-F6BC-48B7-BCCB-A5A0BE324746}"/>
  </bookViews>
  <sheets>
    <sheet name="Sheet1" sheetId="1" r:id="rId1"/>
    <sheet name="Sheet2" sheetId="2" r:id="rId2"/>
    <sheet name="Sheet3" sheetId="3" r:id="rId3"/>
    <sheet name="R40.1_blade chord" sheetId="4" r:id="rId4"/>
    <sheet name="25 blade sections" sheetId="5" r:id="rId5"/>
    <sheet name="iTERATIONS" sheetId="6" r:id="rId6"/>
    <sheet name="with corrections" sheetId="10" r:id="rId7"/>
    <sheet name="a,ad(BEM)" sheetId="13" r:id="rId8"/>
    <sheet name="Aerofoil" sheetId="15" r:id="rId9"/>
    <sheet name="MATLAB" sheetId="16" r:id="rId10"/>
    <sheet name="Sheet4" sheetId="1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6" l="1"/>
  <c r="Z12" i="16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14" i="15"/>
  <c r="AW4" i="16"/>
  <c r="AW11" i="16" s="1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35" i="16"/>
  <c r="M12" i="13"/>
  <c r="A36" i="16"/>
  <c r="A37" i="16"/>
  <c r="A38" i="16"/>
  <c r="A39" i="16"/>
  <c r="G39" i="16" s="1"/>
  <c r="H39" i="16" s="1"/>
  <c r="I39" i="16" s="1"/>
  <c r="A40" i="16"/>
  <c r="A41" i="16"/>
  <c r="A42" i="16"/>
  <c r="A43" i="16"/>
  <c r="A44" i="16"/>
  <c r="A45" i="16"/>
  <c r="A46" i="16"/>
  <c r="A47" i="16"/>
  <c r="G47" i="16" s="1"/>
  <c r="H47" i="16" s="1"/>
  <c r="I47" i="16" s="1"/>
  <c r="A48" i="16"/>
  <c r="A49" i="16"/>
  <c r="A50" i="16"/>
  <c r="A51" i="16"/>
  <c r="A52" i="16"/>
  <c r="A53" i="16"/>
  <c r="A54" i="16"/>
  <c r="A55" i="16"/>
  <c r="G55" i="16" s="1"/>
  <c r="H55" i="16" s="1"/>
  <c r="I55" i="16" s="1"/>
  <c r="A56" i="16"/>
  <c r="A57" i="16"/>
  <c r="A58" i="16"/>
  <c r="A59" i="16"/>
  <c r="A35" i="16"/>
  <c r="E2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35" i="16"/>
  <c r="K15" i="15"/>
  <c r="K16" i="15"/>
  <c r="L16" i="15" s="1"/>
  <c r="K17" i="15"/>
  <c r="K18" i="15"/>
  <c r="K19" i="15"/>
  <c r="K20" i="15"/>
  <c r="L20" i="15" s="1"/>
  <c r="K21" i="15"/>
  <c r="K22" i="15"/>
  <c r="K23" i="15"/>
  <c r="K24" i="15"/>
  <c r="L24" i="15" s="1"/>
  <c r="K25" i="15"/>
  <c r="K26" i="15"/>
  <c r="K27" i="15"/>
  <c r="K28" i="15"/>
  <c r="L28" i="15" s="1"/>
  <c r="K29" i="15"/>
  <c r="K30" i="15"/>
  <c r="K31" i="15"/>
  <c r="K32" i="15"/>
  <c r="L32" i="15" s="1"/>
  <c r="K33" i="15"/>
  <c r="K34" i="15"/>
  <c r="K35" i="15"/>
  <c r="K36" i="15"/>
  <c r="L36" i="15" s="1"/>
  <c r="K14" i="15"/>
  <c r="L14" i="15" s="1"/>
  <c r="K13" i="15"/>
  <c r="L13" i="15" s="1"/>
  <c r="K12" i="15"/>
  <c r="L15" i="15"/>
  <c r="L17" i="15"/>
  <c r="L18" i="15"/>
  <c r="L19" i="15"/>
  <c r="L21" i="15"/>
  <c r="L22" i="15"/>
  <c r="L23" i="15"/>
  <c r="L25" i="15"/>
  <c r="L26" i="15"/>
  <c r="L27" i="15"/>
  <c r="L29" i="15"/>
  <c r="L30" i="15"/>
  <c r="L31" i="15"/>
  <c r="L33" i="15"/>
  <c r="L34" i="15"/>
  <c r="L35" i="15"/>
  <c r="L12" i="15"/>
  <c r="Z30" i="16"/>
  <c r="Z31" i="16" s="1"/>
  <c r="V40" i="10"/>
  <c r="T12" i="10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6" i="16"/>
  <c r="B2" i="16"/>
  <c r="T36" i="16" s="1"/>
  <c r="B3" i="16"/>
  <c r="B7" i="16" s="1"/>
  <c r="U36" i="16" s="1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13" i="15"/>
  <c r="AA17" i="15"/>
  <c r="AA12" i="15"/>
  <c r="Z17" i="15"/>
  <c r="Z16" i="15"/>
  <c r="AA16" i="15" s="1"/>
  <c r="Z15" i="15"/>
  <c r="AA15" i="15" s="1"/>
  <c r="Z14" i="15"/>
  <c r="AA14" i="15" s="1"/>
  <c r="Z13" i="15"/>
  <c r="Z12" i="15"/>
  <c r="R13" i="15"/>
  <c r="R15" i="15"/>
  <c r="R16" i="15"/>
  <c r="R17" i="15"/>
  <c r="R19" i="15"/>
  <c r="R20" i="15"/>
  <c r="R21" i="15"/>
  <c r="R23" i="15"/>
  <c r="R24" i="15"/>
  <c r="R25" i="15"/>
  <c r="R27" i="15"/>
  <c r="R28" i="15"/>
  <c r="R29" i="15"/>
  <c r="R31" i="15"/>
  <c r="R32" i="15"/>
  <c r="R33" i="15"/>
  <c r="R35" i="15"/>
  <c r="R36" i="15"/>
  <c r="R12" i="15"/>
  <c r="D4" i="15"/>
  <c r="R14" i="15" s="1"/>
  <c r="G57" i="16" l="1"/>
  <c r="H57" i="16" s="1"/>
  <c r="I57" i="16" s="1"/>
  <c r="G49" i="16"/>
  <c r="H49" i="16" s="1"/>
  <c r="I49" i="16" s="1"/>
  <c r="AW8" i="16"/>
  <c r="AW12" i="16"/>
  <c r="AW13" i="16"/>
  <c r="AW16" i="16"/>
  <c r="T35" i="16"/>
  <c r="AW6" i="16"/>
  <c r="AW14" i="16"/>
  <c r="AW7" i="16"/>
  <c r="AW15" i="16"/>
  <c r="G41" i="16"/>
  <c r="H41" i="16" s="1"/>
  <c r="I41" i="16" s="1"/>
  <c r="O41" i="16" s="1"/>
  <c r="P41" i="16" s="1"/>
  <c r="Q41" i="16" s="1"/>
  <c r="AW10" i="16"/>
  <c r="T59" i="16"/>
  <c r="AW9" i="16"/>
  <c r="AW17" i="16"/>
  <c r="G56" i="16"/>
  <c r="H56" i="16" s="1"/>
  <c r="I56" i="16" s="1"/>
  <c r="O56" i="16" s="1"/>
  <c r="P56" i="16" s="1"/>
  <c r="Q56" i="16" s="1"/>
  <c r="G48" i="16"/>
  <c r="H48" i="16" s="1"/>
  <c r="I48" i="16" s="1"/>
  <c r="G40" i="16"/>
  <c r="H40" i="16" s="1"/>
  <c r="I40" i="16" s="1"/>
  <c r="O40" i="16" s="1"/>
  <c r="P40" i="16" s="1"/>
  <c r="Q40" i="16" s="1"/>
  <c r="V36" i="16"/>
  <c r="G43" i="16"/>
  <c r="H43" i="16" s="1"/>
  <c r="I43" i="16" s="1"/>
  <c r="O43" i="16" s="1"/>
  <c r="P43" i="16" s="1"/>
  <c r="Q43" i="16" s="1"/>
  <c r="O57" i="16"/>
  <c r="P57" i="16" s="1"/>
  <c r="Q57" i="16" s="1"/>
  <c r="K57" i="16"/>
  <c r="L57" i="16" s="1"/>
  <c r="M57" i="16" s="1"/>
  <c r="T57" i="16" s="1"/>
  <c r="K49" i="16"/>
  <c r="L49" i="16" s="1"/>
  <c r="M49" i="16" s="1"/>
  <c r="T49" i="16" s="1"/>
  <c r="O49" i="16"/>
  <c r="P49" i="16" s="1"/>
  <c r="Q49" i="16" s="1"/>
  <c r="K48" i="16"/>
  <c r="L48" i="16" s="1"/>
  <c r="M48" i="16" s="1"/>
  <c r="T48" i="16" s="1"/>
  <c r="O48" i="16"/>
  <c r="P48" i="16" s="1"/>
  <c r="Q48" i="16" s="1"/>
  <c r="K40" i="16"/>
  <c r="L40" i="16" s="1"/>
  <c r="M40" i="16" s="1"/>
  <c r="T40" i="16" s="1"/>
  <c r="O55" i="16"/>
  <c r="P55" i="16" s="1"/>
  <c r="Q55" i="16" s="1"/>
  <c r="K55" i="16"/>
  <c r="L55" i="16" s="1"/>
  <c r="M55" i="16" s="1"/>
  <c r="T55" i="16" s="1"/>
  <c r="O39" i="16"/>
  <c r="P39" i="16" s="1"/>
  <c r="Q39" i="16" s="1"/>
  <c r="K39" i="16"/>
  <c r="L39" i="16" s="1"/>
  <c r="M39" i="16" s="1"/>
  <c r="T39" i="16" s="1"/>
  <c r="K56" i="16"/>
  <c r="L56" i="16" s="1"/>
  <c r="M56" i="16" s="1"/>
  <c r="T56" i="16" s="1"/>
  <c r="O47" i="16"/>
  <c r="P47" i="16" s="1"/>
  <c r="Q47" i="16" s="1"/>
  <c r="K47" i="16"/>
  <c r="L47" i="16" s="1"/>
  <c r="M47" i="16" s="1"/>
  <c r="T47" i="16" s="1"/>
  <c r="G54" i="16"/>
  <c r="H54" i="16" s="1"/>
  <c r="I54" i="16" s="1"/>
  <c r="G38" i="16"/>
  <c r="H38" i="16" s="1"/>
  <c r="I38" i="16" s="1"/>
  <c r="G58" i="16"/>
  <c r="H58" i="16" s="1"/>
  <c r="I58" i="16" s="1"/>
  <c r="G50" i="16"/>
  <c r="H50" i="16" s="1"/>
  <c r="I50" i="16" s="1"/>
  <c r="G42" i="16"/>
  <c r="H42" i="16" s="1"/>
  <c r="I42" i="16" s="1"/>
  <c r="G53" i="16"/>
  <c r="H53" i="16" s="1"/>
  <c r="I53" i="16" s="1"/>
  <c r="G37" i="16"/>
  <c r="H37" i="16" s="1"/>
  <c r="I37" i="16" s="1"/>
  <c r="G35" i="16"/>
  <c r="H35" i="16" s="1"/>
  <c r="I35" i="16" s="1"/>
  <c r="G52" i="16"/>
  <c r="H52" i="16" s="1"/>
  <c r="I52" i="16" s="1"/>
  <c r="G44" i="16"/>
  <c r="H44" i="16" s="1"/>
  <c r="I44" i="16" s="1"/>
  <c r="G36" i="16"/>
  <c r="H36" i="16" s="1"/>
  <c r="I36" i="16" s="1"/>
  <c r="G46" i="16"/>
  <c r="H46" i="16" s="1"/>
  <c r="I46" i="16" s="1"/>
  <c r="G45" i="16"/>
  <c r="H45" i="16" s="1"/>
  <c r="I45" i="16" s="1"/>
  <c r="G59" i="16"/>
  <c r="H59" i="16" s="1"/>
  <c r="I59" i="16" s="1"/>
  <c r="G51" i="16"/>
  <c r="H51" i="16" s="1"/>
  <c r="I51" i="16" s="1"/>
  <c r="AJ21" i="15"/>
  <c r="R34" i="15"/>
  <c r="R26" i="15"/>
  <c r="R18" i="15"/>
  <c r="R30" i="15"/>
  <c r="R22" i="15"/>
  <c r="Z32" i="16"/>
  <c r="E7" i="16"/>
  <c r="F7" i="16" s="1"/>
  <c r="C7" i="16"/>
  <c r="B30" i="16"/>
  <c r="B29" i="16"/>
  <c r="B25" i="16"/>
  <c r="B22" i="16"/>
  <c r="B21" i="16"/>
  <c r="B17" i="16"/>
  <c r="B14" i="16"/>
  <c r="B13" i="16"/>
  <c r="B12" i="16"/>
  <c r="B11" i="16"/>
  <c r="B28" i="16"/>
  <c r="B20" i="16"/>
  <c r="B27" i="16"/>
  <c r="B19" i="16"/>
  <c r="B26" i="16"/>
  <c r="B18" i="16"/>
  <c r="B10" i="16"/>
  <c r="B9" i="16"/>
  <c r="B8" i="16"/>
  <c r="B24" i="16"/>
  <c r="B16" i="16"/>
  <c r="B6" i="16"/>
  <c r="B23" i="16"/>
  <c r="B15" i="16"/>
  <c r="Y86" i="15"/>
  <c r="Y87" i="15" s="1"/>
  <c r="Y88" i="15" s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D8" i="15"/>
  <c r="D7" i="15"/>
  <c r="D5" i="15"/>
  <c r="G4" i="15"/>
  <c r="G3" i="15"/>
  <c r="D3" i="15"/>
  <c r="G2" i="15"/>
  <c r="D2" i="15"/>
  <c r="D1" i="15"/>
  <c r="D27" i="15" s="1"/>
  <c r="K41" i="16" l="1"/>
  <c r="L41" i="16" s="1"/>
  <c r="M41" i="16" s="1"/>
  <c r="T41" i="16" s="1"/>
  <c r="C22" i="16"/>
  <c r="E9" i="16"/>
  <c r="F9" i="16" s="1"/>
  <c r="C11" i="16"/>
  <c r="U40" i="16"/>
  <c r="V40" i="16" s="1"/>
  <c r="C29" i="16"/>
  <c r="C24" i="16"/>
  <c r="C12" i="16"/>
  <c r="U41" i="16"/>
  <c r="C30" i="16"/>
  <c r="U59" i="16"/>
  <c r="V59" i="16" s="1"/>
  <c r="C13" i="16"/>
  <c r="C23" i="16"/>
  <c r="C26" i="16"/>
  <c r="U55" i="16"/>
  <c r="V55" i="16" s="1"/>
  <c r="C14" i="16"/>
  <c r="U43" i="16"/>
  <c r="C20" i="16"/>
  <c r="U49" i="16"/>
  <c r="V49" i="16" s="1"/>
  <c r="C8" i="16"/>
  <c r="E25" i="16"/>
  <c r="C10" i="16"/>
  <c r="U39" i="16"/>
  <c r="V39" i="16" s="1"/>
  <c r="C15" i="16"/>
  <c r="C6" i="16"/>
  <c r="U35" i="16"/>
  <c r="V35" i="16" s="1"/>
  <c r="C19" i="16"/>
  <c r="U48" i="16"/>
  <c r="V48" i="16" s="1"/>
  <c r="E17" i="16"/>
  <c r="F17" i="16" s="1"/>
  <c r="C28" i="16"/>
  <c r="U57" i="16"/>
  <c r="V57" i="16" s="1"/>
  <c r="C18" i="16"/>
  <c r="U47" i="16"/>
  <c r="V47" i="16" s="1"/>
  <c r="C16" i="16"/>
  <c r="C27" i="16"/>
  <c r="U56" i="16"/>
  <c r="V56" i="16" s="1"/>
  <c r="C21" i="16"/>
  <c r="K43" i="16"/>
  <c r="L43" i="16" s="1"/>
  <c r="M43" i="16" s="1"/>
  <c r="T43" i="16" s="1"/>
  <c r="V43" i="16" s="1"/>
  <c r="O36" i="16"/>
  <c r="P36" i="16" s="1"/>
  <c r="K36" i="16"/>
  <c r="L36" i="16" s="1"/>
  <c r="K58" i="16"/>
  <c r="L58" i="16" s="1"/>
  <c r="M58" i="16" s="1"/>
  <c r="T58" i="16" s="1"/>
  <c r="O58" i="16"/>
  <c r="P58" i="16" s="1"/>
  <c r="Q58" i="16" s="1"/>
  <c r="U58" i="16" s="1"/>
  <c r="K44" i="16"/>
  <c r="L44" i="16" s="1"/>
  <c r="M44" i="16" s="1"/>
  <c r="T44" i="16" s="1"/>
  <c r="O44" i="16"/>
  <c r="P44" i="16" s="1"/>
  <c r="Q44" i="16" s="1"/>
  <c r="U44" i="16" s="1"/>
  <c r="O38" i="16"/>
  <c r="P38" i="16" s="1"/>
  <c r="Q38" i="16" s="1"/>
  <c r="U38" i="16" s="1"/>
  <c r="K38" i="16"/>
  <c r="L38" i="16" s="1"/>
  <c r="M38" i="16" s="1"/>
  <c r="T38" i="16" s="1"/>
  <c r="O50" i="16"/>
  <c r="P50" i="16" s="1"/>
  <c r="Q50" i="16" s="1"/>
  <c r="U50" i="16" s="1"/>
  <c r="K50" i="16"/>
  <c r="L50" i="16" s="1"/>
  <c r="M50" i="16" s="1"/>
  <c r="T50" i="16" s="1"/>
  <c r="O52" i="16"/>
  <c r="P52" i="16" s="1"/>
  <c r="Q52" i="16" s="1"/>
  <c r="U52" i="16" s="1"/>
  <c r="K52" i="16"/>
  <c r="L52" i="16" s="1"/>
  <c r="M52" i="16" s="1"/>
  <c r="T52" i="16" s="1"/>
  <c r="O54" i="16"/>
  <c r="P54" i="16" s="1"/>
  <c r="Q54" i="16" s="1"/>
  <c r="U54" i="16" s="1"/>
  <c r="K54" i="16"/>
  <c r="L54" i="16" s="1"/>
  <c r="M54" i="16" s="1"/>
  <c r="T54" i="16" s="1"/>
  <c r="K35" i="16"/>
  <c r="L35" i="16" s="1"/>
  <c r="O35" i="16"/>
  <c r="P35" i="16" s="1"/>
  <c r="K51" i="16"/>
  <c r="L51" i="16" s="1"/>
  <c r="M51" i="16" s="1"/>
  <c r="T51" i="16" s="1"/>
  <c r="O51" i="16"/>
  <c r="P51" i="16" s="1"/>
  <c r="Q51" i="16" s="1"/>
  <c r="U51" i="16" s="1"/>
  <c r="O37" i="16"/>
  <c r="P37" i="16" s="1"/>
  <c r="Q37" i="16" s="1"/>
  <c r="U37" i="16" s="1"/>
  <c r="K37" i="16"/>
  <c r="L37" i="16" s="1"/>
  <c r="M37" i="16" s="1"/>
  <c r="T37" i="16" s="1"/>
  <c r="O46" i="16"/>
  <c r="P46" i="16" s="1"/>
  <c r="Q46" i="16" s="1"/>
  <c r="U46" i="16" s="1"/>
  <c r="K46" i="16"/>
  <c r="L46" i="16" s="1"/>
  <c r="M46" i="16" s="1"/>
  <c r="T46" i="16" s="1"/>
  <c r="O59" i="16"/>
  <c r="P59" i="16" s="1"/>
  <c r="K59" i="16"/>
  <c r="L59" i="16" s="1"/>
  <c r="O53" i="16"/>
  <c r="P53" i="16" s="1"/>
  <c r="Q53" i="16" s="1"/>
  <c r="U53" i="16" s="1"/>
  <c r="K53" i="16"/>
  <c r="L53" i="16" s="1"/>
  <c r="M53" i="16" s="1"/>
  <c r="T53" i="16" s="1"/>
  <c r="K45" i="16"/>
  <c r="L45" i="16" s="1"/>
  <c r="M45" i="16" s="1"/>
  <c r="T45" i="16" s="1"/>
  <c r="O45" i="16"/>
  <c r="P45" i="16" s="1"/>
  <c r="Q45" i="16" s="1"/>
  <c r="U45" i="16" s="1"/>
  <c r="K42" i="16"/>
  <c r="L42" i="16" s="1"/>
  <c r="M42" i="16" s="1"/>
  <c r="T42" i="16" s="1"/>
  <c r="O42" i="16"/>
  <c r="P42" i="16" s="1"/>
  <c r="Q42" i="16" s="1"/>
  <c r="U42" i="16" s="1"/>
  <c r="N7" i="16"/>
  <c r="T7" i="16" s="1"/>
  <c r="Q7" i="16"/>
  <c r="U7" i="16" s="1"/>
  <c r="G7" i="16"/>
  <c r="J7" i="16" s="1"/>
  <c r="E18" i="16"/>
  <c r="F18" i="16" s="1"/>
  <c r="E13" i="16"/>
  <c r="F13" i="16" s="1"/>
  <c r="E15" i="16"/>
  <c r="F15" i="16" s="1"/>
  <c r="E12" i="16"/>
  <c r="F12" i="16" s="1"/>
  <c r="E30" i="16"/>
  <c r="F30" i="16" s="1"/>
  <c r="E24" i="16"/>
  <c r="F24" i="16" s="1"/>
  <c r="E20" i="16"/>
  <c r="F20" i="16" s="1"/>
  <c r="E19" i="16"/>
  <c r="F19" i="16" s="1"/>
  <c r="E28" i="16"/>
  <c r="F28" i="16" s="1"/>
  <c r="E11" i="16"/>
  <c r="F11" i="16" s="1"/>
  <c r="E23" i="16"/>
  <c r="F23" i="16" s="1"/>
  <c r="E22" i="16"/>
  <c r="F22" i="16" s="1"/>
  <c r="E27" i="16"/>
  <c r="F27" i="16" s="1"/>
  <c r="E8" i="16"/>
  <c r="F8" i="16" s="1"/>
  <c r="E6" i="16"/>
  <c r="F6" i="16" s="1"/>
  <c r="Q6" i="16" s="1"/>
  <c r="U6" i="16" s="1"/>
  <c r="E16" i="16"/>
  <c r="F16" i="16" s="1"/>
  <c r="E29" i="16"/>
  <c r="F29" i="16" s="1"/>
  <c r="E10" i="16"/>
  <c r="F10" i="16" s="1"/>
  <c r="E21" i="16"/>
  <c r="F21" i="16" s="1"/>
  <c r="E14" i="16"/>
  <c r="F14" i="16" s="1"/>
  <c r="E26" i="16"/>
  <c r="F26" i="16" s="1"/>
  <c r="C25" i="16"/>
  <c r="F25" i="16"/>
  <c r="C9" i="16"/>
  <c r="C17" i="16"/>
  <c r="Q17" i="15"/>
  <c r="F17" i="15" s="1"/>
  <c r="Q25" i="15"/>
  <c r="F25" i="15" s="1"/>
  <c r="Q33" i="15"/>
  <c r="F33" i="15" s="1"/>
  <c r="Q21" i="15"/>
  <c r="F21" i="15" s="1"/>
  <c r="Q30" i="15"/>
  <c r="F30" i="15" s="1"/>
  <c r="Q31" i="15"/>
  <c r="F31" i="15" s="1"/>
  <c r="Q18" i="15"/>
  <c r="F18" i="15" s="1"/>
  <c r="Q26" i="15"/>
  <c r="F26" i="15" s="1"/>
  <c r="Q34" i="15"/>
  <c r="F34" i="15" s="1"/>
  <c r="Q28" i="15"/>
  <c r="F28" i="15" s="1"/>
  <c r="Q36" i="15"/>
  <c r="F36" i="15" s="1"/>
  <c r="Q29" i="15"/>
  <c r="F29" i="15" s="1"/>
  <c r="Q23" i="15"/>
  <c r="F23" i="15" s="1"/>
  <c r="Q24" i="15"/>
  <c r="F24" i="15" s="1"/>
  <c r="Q19" i="15"/>
  <c r="F19" i="15" s="1"/>
  <c r="Q27" i="15"/>
  <c r="F27" i="15" s="1"/>
  <c r="Q35" i="15"/>
  <c r="F35" i="15" s="1"/>
  <c r="Q20" i="15"/>
  <c r="F20" i="15" s="1"/>
  <c r="Q13" i="15"/>
  <c r="F13" i="15" s="1"/>
  <c r="Q12" i="15"/>
  <c r="F12" i="15" s="1"/>
  <c r="Q14" i="15"/>
  <c r="F14" i="15" s="1"/>
  <c r="Q22" i="15"/>
  <c r="F22" i="15" s="1"/>
  <c r="Q15" i="15"/>
  <c r="F15" i="15" s="1"/>
  <c r="Q16" i="15"/>
  <c r="F16" i="15" s="1"/>
  <c r="Q32" i="15"/>
  <c r="F32" i="15" s="1"/>
  <c r="D16" i="15"/>
  <c r="D12" i="15"/>
  <c r="D13" i="15"/>
  <c r="D35" i="15"/>
  <c r="D17" i="15"/>
  <c r="D31" i="15"/>
  <c r="E36" i="15"/>
  <c r="D33" i="15"/>
  <c r="D15" i="15"/>
  <c r="D29" i="15"/>
  <c r="E21" i="15"/>
  <c r="G21" i="15" s="1"/>
  <c r="E33" i="15"/>
  <c r="E18" i="15"/>
  <c r="E13" i="15"/>
  <c r="E35" i="15"/>
  <c r="E31" i="15"/>
  <c r="E27" i="15"/>
  <c r="E23" i="15"/>
  <c r="E32" i="15"/>
  <c r="E28" i="15"/>
  <c r="G28" i="15" s="1"/>
  <c r="E24" i="15"/>
  <c r="G24" i="15" s="1"/>
  <c r="E20" i="15"/>
  <c r="E16" i="15"/>
  <c r="G16" i="15" s="1"/>
  <c r="E22" i="15"/>
  <c r="E17" i="15"/>
  <c r="E25" i="15"/>
  <c r="G25" i="15" s="1"/>
  <c r="E26" i="15"/>
  <c r="E19" i="15"/>
  <c r="G19" i="15" s="1"/>
  <c r="E15" i="15"/>
  <c r="E29" i="15"/>
  <c r="E12" i="15"/>
  <c r="E30" i="15"/>
  <c r="E14" i="15"/>
  <c r="E34" i="15"/>
  <c r="D19" i="15"/>
  <c r="D25" i="15"/>
  <c r="D34" i="15"/>
  <c r="D30" i="15"/>
  <c r="D26" i="15"/>
  <c r="D22" i="15"/>
  <c r="D18" i="15"/>
  <c r="D36" i="15"/>
  <c r="D32" i="15"/>
  <c r="D28" i="15"/>
  <c r="D24" i="15"/>
  <c r="D20" i="15"/>
  <c r="G5" i="15"/>
  <c r="D14" i="15"/>
  <c r="D21" i="15"/>
  <c r="D23" i="15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58" i="10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9" i="5"/>
  <c r="V41" i="16" l="1"/>
  <c r="V42" i="16"/>
  <c r="V44" i="16"/>
  <c r="V37" i="16"/>
  <c r="V52" i="16"/>
  <c r="V45" i="16"/>
  <c r="V58" i="16"/>
  <c r="V53" i="16"/>
  <c r="V50" i="16"/>
  <c r="V51" i="16"/>
  <c r="V46" i="16"/>
  <c r="V38" i="16"/>
  <c r="V54" i="16"/>
  <c r="G15" i="15"/>
  <c r="G18" i="15"/>
  <c r="G26" i="15"/>
  <c r="G32" i="15"/>
  <c r="G34" i="15"/>
  <c r="G23" i="15"/>
  <c r="G14" i="15"/>
  <c r="G17" i="15"/>
  <c r="G27" i="15"/>
  <c r="V7" i="16"/>
  <c r="W7" i="16" s="1"/>
  <c r="N18" i="16"/>
  <c r="T18" i="16" s="1"/>
  <c r="Q18" i="16"/>
  <c r="U18" i="16" s="1"/>
  <c r="N12" i="16"/>
  <c r="T12" i="16" s="1"/>
  <c r="Q12" i="16"/>
  <c r="U12" i="16" s="1"/>
  <c r="N9" i="16"/>
  <c r="Q9" i="16"/>
  <c r="U9" i="16" s="1"/>
  <c r="N21" i="16"/>
  <c r="Q21" i="16"/>
  <c r="U21" i="16" s="1"/>
  <c r="N23" i="16"/>
  <c r="Q23" i="16"/>
  <c r="U23" i="16" s="1"/>
  <c r="N15" i="16"/>
  <c r="T15" i="16" s="1"/>
  <c r="Q15" i="16"/>
  <c r="U15" i="16" s="1"/>
  <c r="N14" i="16"/>
  <c r="Q14" i="16"/>
  <c r="U14" i="16" s="1"/>
  <c r="N13" i="16"/>
  <c r="Q13" i="16"/>
  <c r="U13" i="16" s="1"/>
  <c r="N25" i="16"/>
  <c r="Q25" i="16"/>
  <c r="U25" i="16" s="1"/>
  <c r="N22" i="16"/>
  <c r="T22" i="16" s="1"/>
  <c r="Q22" i="16"/>
  <c r="U22" i="16" s="1"/>
  <c r="N11" i="16"/>
  <c r="Q11" i="16"/>
  <c r="U11" i="16" s="1"/>
  <c r="N28" i="16"/>
  <c r="Q28" i="16"/>
  <c r="U28" i="16" s="1"/>
  <c r="N16" i="16"/>
  <c r="Q16" i="16"/>
  <c r="U16" i="16" s="1"/>
  <c r="N19" i="16"/>
  <c r="T19" i="16" s="1"/>
  <c r="Q19" i="16"/>
  <c r="U19" i="16" s="1"/>
  <c r="N20" i="16"/>
  <c r="Q20" i="16"/>
  <c r="U20" i="16" s="1"/>
  <c r="N10" i="16"/>
  <c r="Q10" i="16"/>
  <c r="U10" i="16" s="1"/>
  <c r="N17" i="16"/>
  <c r="T17" i="16" s="1"/>
  <c r="Q17" i="16"/>
  <c r="U17" i="16" s="1"/>
  <c r="N8" i="16"/>
  <c r="T8" i="16" s="1"/>
  <c r="Q8" i="16"/>
  <c r="U8" i="16" s="1"/>
  <c r="N24" i="16"/>
  <c r="T24" i="16" s="1"/>
  <c r="Q24" i="16"/>
  <c r="U24" i="16" s="1"/>
  <c r="N29" i="16"/>
  <c r="Q29" i="16"/>
  <c r="U29" i="16" s="1"/>
  <c r="N26" i="16"/>
  <c r="Q26" i="16"/>
  <c r="U26" i="16" s="1"/>
  <c r="N27" i="16"/>
  <c r="Q27" i="16"/>
  <c r="U27" i="16" s="1"/>
  <c r="N30" i="16"/>
  <c r="Q30" i="16"/>
  <c r="U30" i="16" s="1"/>
  <c r="G24" i="16"/>
  <c r="J24" i="16" s="1"/>
  <c r="G21" i="16"/>
  <c r="J21" i="16" s="1"/>
  <c r="G12" i="16"/>
  <c r="J12" i="16" s="1"/>
  <c r="G30" i="16"/>
  <c r="J30" i="16" s="1"/>
  <c r="G23" i="16"/>
  <c r="J23" i="16" s="1"/>
  <c r="G15" i="16"/>
  <c r="J15" i="16" s="1"/>
  <c r="G28" i="16"/>
  <c r="J28" i="16" s="1"/>
  <c r="G27" i="16"/>
  <c r="J27" i="16" s="1"/>
  <c r="G9" i="16"/>
  <c r="J9" i="16" s="1"/>
  <c r="G26" i="16"/>
  <c r="J26" i="16" s="1"/>
  <c r="G17" i="16"/>
  <c r="J17" i="16" s="1"/>
  <c r="G25" i="16"/>
  <c r="J25" i="16" s="1"/>
  <c r="G14" i="16"/>
  <c r="J14" i="16" s="1"/>
  <c r="G22" i="16"/>
  <c r="J22" i="16" s="1"/>
  <c r="G29" i="16"/>
  <c r="J29" i="16" s="1"/>
  <c r="G10" i="16"/>
  <c r="J10" i="16" s="1"/>
  <c r="G11" i="16"/>
  <c r="J11" i="16" s="1"/>
  <c r="G13" i="16"/>
  <c r="J13" i="16" s="1"/>
  <c r="G8" i="16"/>
  <c r="J8" i="16" s="1"/>
  <c r="G20" i="16"/>
  <c r="J20" i="16" s="1"/>
  <c r="G16" i="16"/>
  <c r="J16" i="16" s="1"/>
  <c r="N6" i="16"/>
  <c r="G6" i="16"/>
  <c r="J6" i="16" s="1"/>
  <c r="G19" i="16"/>
  <c r="J19" i="16" s="1"/>
  <c r="G18" i="16"/>
  <c r="J18" i="16" s="1"/>
  <c r="G35" i="15"/>
  <c r="G36" i="15"/>
  <c r="G30" i="15"/>
  <c r="G22" i="15"/>
  <c r="G31" i="15"/>
  <c r="G29" i="15"/>
  <c r="G20" i="15"/>
  <c r="G13" i="15"/>
  <c r="G33" i="15"/>
  <c r="G12" i="15"/>
  <c r="S12" i="15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M58" i="10"/>
  <c r="V26" i="16" l="1"/>
  <c r="W26" i="16" s="1"/>
  <c r="V17" i="16"/>
  <c r="W17" i="16" s="1"/>
  <c r="V16" i="16"/>
  <c r="W16" i="16" s="1"/>
  <c r="V25" i="16"/>
  <c r="W25" i="16" s="1"/>
  <c r="V23" i="16"/>
  <c r="W23" i="16" s="1"/>
  <c r="V18" i="16"/>
  <c r="W18" i="16" s="1"/>
  <c r="T25" i="16"/>
  <c r="V29" i="16"/>
  <c r="W29" i="16" s="1"/>
  <c r="V28" i="16"/>
  <c r="W28" i="16" s="1"/>
  <c r="T23" i="16"/>
  <c r="T16" i="16"/>
  <c r="T26" i="16"/>
  <c r="V30" i="16"/>
  <c r="W30" i="16" s="1"/>
  <c r="V24" i="16"/>
  <c r="W24" i="16" s="1"/>
  <c r="T20" i="16"/>
  <c r="V20" i="16"/>
  <c r="W20" i="16" s="1"/>
  <c r="T11" i="16"/>
  <c r="V11" i="16"/>
  <c r="W11" i="16" s="1"/>
  <c r="T14" i="16"/>
  <c r="V14" i="16"/>
  <c r="W14" i="16" s="1"/>
  <c r="T9" i="16"/>
  <c r="V9" i="16"/>
  <c r="W9" i="16" s="1"/>
  <c r="T21" i="16"/>
  <c r="V21" i="16"/>
  <c r="W21" i="16" s="1"/>
  <c r="T6" i="16"/>
  <c r="V6" i="16"/>
  <c r="W6" i="16" s="1"/>
  <c r="V27" i="16"/>
  <c r="W27" i="16" s="1"/>
  <c r="V8" i="16"/>
  <c r="W8" i="16" s="1"/>
  <c r="V19" i="16"/>
  <c r="W19" i="16" s="1"/>
  <c r="V22" i="16"/>
  <c r="W22" i="16" s="1"/>
  <c r="V15" i="16"/>
  <c r="W15" i="16" s="1"/>
  <c r="V12" i="16"/>
  <c r="W12" i="16" s="1"/>
  <c r="T13" i="16"/>
  <c r="V13" i="16"/>
  <c r="W13" i="16" s="1"/>
  <c r="T10" i="16"/>
  <c r="V10" i="16"/>
  <c r="W10" i="16" s="1"/>
  <c r="T29" i="16"/>
  <c r="T28" i="16"/>
  <c r="T27" i="16"/>
  <c r="T30" i="16"/>
  <c r="N106" i="10"/>
  <c r="N104" i="10"/>
  <c r="N103" i="10"/>
  <c r="O105" i="10" s="1"/>
  <c r="N107" i="10" s="1"/>
  <c r="N109" i="10" s="1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D13" i="13"/>
  <c r="B13" i="13"/>
  <c r="B12" i="13"/>
  <c r="D8" i="13"/>
  <c r="D7" i="13"/>
  <c r="D5" i="13"/>
  <c r="E21" i="13" s="1"/>
  <c r="G4" i="13"/>
  <c r="D4" i="13"/>
  <c r="G3" i="13"/>
  <c r="D3" i="13"/>
  <c r="G2" i="13"/>
  <c r="D2" i="13"/>
  <c r="D1" i="13"/>
  <c r="D18" i="13" s="1"/>
  <c r="Z23" i="16" l="1"/>
  <c r="Z24" i="16" s="1"/>
  <c r="T12" i="15"/>
  <c r="U12" i="15" s="1"/>
  <c r="S27" i="15"/>
  <c r="T27" i="15" s="1"/>
  <c r="S14" i="15"/>
  <c r="T14" i="15" s="1"/>
  <c r="S20" i="15"/>
  <c r="T20" i="15" s="1"/>
  <c r="E29" i="13"/>
  <c r="E18" i="13"/>
  <c r="E12" i="13"/>
  <c r="F12" i="13" s="1"/>
  <c r="G12" i="13" s="1"/>
  <c r="E25" i="13"/>
  <c r="F29" i="13"/>
  <c r="G29" i="13" s="1"/>
  <c r="F25" i="13"/>
  <c r="G25" i="13" s="1"/>
  <c r="H35" i="13"/>
  <c r="H31" i="13"/>
  <c r="H36" i="13"/>
  <c r="H32" i="13"/>
  <c r="H30" i="13"/>
  <c r="H26" i="13"/>
  <c r="H22" i="13"/>
  <c r="H34" i="13"/>
  <c r="H28" i="13"/>
  <c r="H24" i="13"/>
  <c r="H27" i="13"/>
  <c r="H23" i="13"/>
  <c r="G5" i="13"/>
  <c r="H18" i="13"/>
  <c r="I18" i="13" s="1"/>
  <c r="M18" i="13" s="1"/>
  <c r="O18" i="13" s="1"/>
  <c r="H12" i="13"/>
  <c r="I12" i="13" s="1"/>
  <c r="H29" i="13"/>
  <c r="H25" i="13"/>
  <c r="I25" i="13" s="1"/>
  <c r="M25" i="13" s="1"/>
  <c r="O25" i="13" s="1"/>
  <c r="H21" i="13"/>
  <c r="H20" i="13"/>
  <c r="H17" i="13"/>
  <c r="H16" i="13"/>
  <c r="H14" i="13"/>
  <c r="H13" i="13"/>
  <c r="H19" i="13"/>
  <c r="F21" i="13"/>
  <c r="G21" i="13" s="1"/>
  <c r="D33" i="13"/>
  <c r="D36" i="13"/>
  <c r="D28" i="13"/>
  <c r="D24" i="13"/>
  <c r="D20" i="13"/>
  <c r="D34" i="13"/>
  <c r="D30" i="13"/>
  <c r="D26" i="13"/>
  <c r="D22" i="13"/>
  <c r="D19" i="13"/>
  <c r="D16" i="13"/>
  <c r="D31" i="13"/>
  <c r="D27" i="13"/>
  <c r="D23" i="13"/>
  <c r="D17" i="13"/>
  <c r="D14" i="13"/>
  <c r="D29" i="13"/>
  <c r="D25" i="13"/>
  <c r="D21" i="13"/>
  <c r="D12" i="13"/>
  <c r="D32" i="13"/>
  <c r="D35" i="13"/>
  <c r="D15" i="13"/>
  <c r="H33" i="13"/>
  <c r="H15" i="13"/>
  <c r="E15" i="13"/>
  <c r="E22" i="13"/>
  <c r="E26" i="13"/>
  <c r="E30" i="13"/>
  <c r="E33" i="13"/>
  <c r="E34" i="13"/>
  <c r="F18" i="13"/>
  <c r="G18" i="13" s="1"/>
  <c r="E36" i="13"/>
  <c r="E32" i="13"/>
  <c r="E35" i="13"/>
  <c r="E28" i="13"/>
  <c r="E24" i="13"/>
  <c r="E20" i="13"/>
  <c r="E16" i="13"/>
  <c r="E31" i="13"/>
  <c r="E27" i="13"/>
  <c r="E23" i="13"/>
  <c r="E19" i="13"/>
  <c r="E13" i="13"/>
  <c r="E14" i="13"/>
  <c r="E17" i="13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12" i="10"/>
  <c r="Y4" i="10"/>
  <c r="Y3" i="10"/>
  <c r="X7" i="3"/>
  <c r="X8" i="3"/>
  <c r="X9" i="3"/>
  <c r="X10" i="3"/>
  <c r="X11" i="3"/>
  <c r="X12" i="3"/>
  <c r="X13" i="3"/>
  <c r="X14" i="3"/>
  <c r="X15" i="3"/>
  <c r="X16" i="3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D8" i="10"/>
  <c r="D7" i="10"/>
  <c r="D5" i="10"/>
  <c r="E12" i="10" s="1"/>
  <c r="G4" i="10"/>
  <c r="D4" i="10"/>
  <c r="G3" i="10"/>
  <c r="D3" i="10"/>
  <c r="G2" i="10"/>
  <c r="H29" i="10" s="1"/>
  <c r="D2" i="10"/>
  <c r="D1" i="10"/>
  <c r="B6" i="5"/>
  <c r="D4" i="5"/>
  <c r="Z25" i="16" l="1"/>
  <c r="V20" i="15"/>
  <c r="U20" i="15"/>
  <c r="V14" i="15"/>
  <c r="U14" i="15"/>
  <c r="U27" i="15"/>
  <c r="V27" i="15"/>
  <c r="V12" i="15"/>
  <c r="S21" i="15"/>
  <c r="T21" i="15" s="1"/>
  <c r="S16" i="15"/>
  <c r="T16" i="15" s="1"/>
  <c r="S18" i="15"/>
  <c r="T18" i="15" s="1"/>
  <c r="S23" i="15"/>
  <c r="T23" i="15" s="1"/>
  <c r="S25" i="15"/>
  <c r="T25" i="15" s="1"/>
  <c r="S30" i="15"/>
  <c r="T30" i="15" s="1"/>
  <c r="S19" i="15"/>
  <c r="T19" i="15" s="1"/>
  <c r="S31" i="15"/>
  <c r="T31" i="15" s="1"/>
  <c r="S15" i="15"/>
  <c r="T15" i="15" s="1"/>
  <c r="S36" i="15"/>
  <c r="T36" i="15" s="1"/>
  <c r="S35" i="15"/>
  <c r="T35" i="15" s="1"/>
  <c r="S32" i="15"/>
  <c r="T32" i="15" s="1"/>
  <c r="S34" i="15"/>
  <c r="T34" i="15" s="1"/>
  <c r="S22" i="15"/>
  <c r="T22" i="15" s="1"/>
  <c r="S26" i="15"/>
  <c r="T26" i="15" s="1"/>
  <c r="S17" i="15"/>
  <c r="T17" i="15" s="1"/>
  <c r="S33" i="15"/>
  <c r="T33" i="15" s="1"/>
  <c r="S24" i="15"/>
  <c r="T24" i="15" s="1"/>
  <c r="S28" i="15"/>
  <c r="T28" i="15" s="1"/>
  <c r="S29" i="15"/>
  <c r="T29" i="15" s="1"/>
  <c r="S13" i="15"/>
  <c r="T13" i="15" s="1"/>
  <c r="Q12" i="10"/>
  <c r="H65" i="10"/>
  <c r="H73" i="10"/>
  <c r="H81" i="10"/>
  <c r="H59" i="10"/>
  <c r="H67" i="10"/>
  <c r="H75" i="10"/>
  <c r="H58" i="10"/>
  <c r="H61" i="10"/>
  <c r="H69" i="10"/>
  <c r="H70" i="10"/>
  <c r="H60" i="10"/>
  <c r="H68" i="10"/>
  <c r="H76" i="10"/>
  <c r="H77" i="10"/>
  <c r="H62" i="10"/>
  <c r="H78" i="10"/>
  <c r="H63" i="10"/>
  <c r="H71" i="10"/>
  <c r="H79" i="10"/>
  <c r="H64" i="10"/>
  <c r="H72" i="10"/>
  <c r="H80" i="10"/>
  <c r="H66" i="10"/>
  <c r="H74" i="10"/>
  <c r="H82" i="10"/>
  <c r="I29" i="13"/>
  <c r="M29" i="13" s="1"/>
  <c r="O29" i="13" s="1"/>
  <c r="F19" i="13"/>
  <c r="G19" i="13" s="1"/>
  <c r="F16" i="13"/>
  <c r="G16" i="13" s="1"/>
  <c r="F33" i="13"/>
  <c r="G33" i="13" s="1"/>
  <c r="O12" i="13"/>
  <c r="F17" i="13"/>
  <c r="G17" i="13" s="1"/>
  <c r="F23" i="13"/>
  <c r="G23" i="13" s="1"/>
  <c r="F24" i="13"/>
  <c r="G24" i="13" s="1"/>
  <c r="F26" i="13"/>
  <c r="G26" i="13" s="1"/>
  <c r="F34" i="13"/>
  <c r="G34" i="13" s="1"/>
  <c r="F20" i="13"/>
  <c r="G20" i="13" s="1"/>
  <c r="F30" i="13"/>
  <c r="G30" i="13" s="1"/>
  <c r="J34" i="13"/>
  <c r="K34" i="13" s="1"/>
  <c r="L34" i="13" s="1"/>
  <c r="J33" i="13"/>
  <c r="K33" i="13" s="1"/>
  <c r="L33" i="13" s="1"/>
  <c r="J29" i="13"/>
  <c r="K29" i="13" s="1"/>
  <c r="L29" i="13" s="1"/>
  <c r="J25" i="13"/>
  <c r="K25" i="13" s="1"/>
  <c r="L25" i="13" s="1"/>
  <c r="J21" i="13"/>
  <c r="K21" i="13" s="1"/>
  <c r="L21" i="13" s="1"/>
  <c r="J18" i="13"/>
  <c r="K18" i="13" s="1"/>
  <c r="L18" i="13" s="1"/>
  <c r="J26" i="13"/>
  <c r="K26" i="13" s="1"/>
  <c r="L26" i="13" s="1"/>
  <c r="J12" i="13"/>
  <c r="K12" i="13" s="1"/>
  <c r="L12" i="13" s="1"/>
  <c r="J30" i="13"/>
  <c r="K30" i="13" s="1"/>
  <c r="L30" i="13" s="1"/>
  <c r="J16" i="13"/>
  <c r="K16" i="13" s="1"/>
  <c r="L16" i="13" s="1"/>
  <c r="J19" i="13"/>
  <c r="K19" i="13" s="1"/>
  <c r="L19" i="13" s="1"/>
  <c r="J17" i="13"/>
  <c r="K17" i="13" s="1"/>
  <c r="L17" i="13" s="1"/>
  <c r="F14" i="13"/>
  <c r="G14" i="13" s="1"/>
  <c r="F28" i="13"/>
  <c r="G28" i="13" s="1"/>
  <c r="F35" i="13"/>
  <c r="G35" i="13" s="1"/>
  <c r="F22" i="13"/>
  <c r="G22" i="13" s="1"/>
  <c r="I33" i="13"/>
  <c r="M33" i="13" s="1"/>
  <c r="O33" i="13" s="1"/>
  <c r="I21" i="13"/>
  <c r="M21" i="13" s="1"/>
  <c r="O21" i="13" s="1"/>
  <c r="F32" i="13"/>
  <c r="G32" i="13" s="1"/>
  <c r="I15" i="13"/>
  <c r="M15" i="13" s="1"/>
  <c r="O15" i="13" s="1"/>
  <c r="F13" i="13"/>
  <c r="G13" i="13" s="1"/>
  <c r="F27" i="13"/>
  <c r="G27" i="13" s="1"/>
  <c r="F15" i="13"/>
  <c r="G15" i="13" s="1"/>
  <c r="I23" i="13"/>
  <c r="M23" i="13" s="1"/>
  <c r="O23" i="13" s="1"/>
  <c r="I34" i="13"/>
  <c r="M34" i="13" s="1"/>
  <c r="O34" i="13" s="1"/>
  <c r="I13" i="13"/>
  <c r="M13" i="13" s="1"/>
  <c r="O13" i="13" s="1"/>
  <c r="I22" i="13"/>
  <c r="M22" i="13" s="1"/>
  <c r="O22" i="13" s="1"/>
  <c r="I19" i="13"/>
  <c r="I16" i="13"/>
  <c r="I24" i="13"/>
  <c r="M24" i="13" s="1"/>
  <c r="O24" i="13" s="1"/>
  <c r="F31" i="13"/>
  <c r="G31" i="13" s="1"/>
  <c r="F36" i="13"/>
  <c r="G36" i="13" s="1"/>
  <c r="I17" i="13"/>
  <c r="M17" i="13" s="1"/>
  <c r="O17" i="13" s="1"/>
  <c r="Q18" i="10"/>
  <c r="R18" i="10" s="1"/>
  <c r="S18" i="10" s="1"/>
  <c r="Q26" i="10"/>
  <c r="I72" i="10" s="1"/>
  <c r="Q34" i="10"/>
  <c r="I80" i="10" s="1"/>
  <c r="Q19" i="10"/>
  <c r="Q27" i="10"/>
  <c r="Q35" i="10"/>
  <c r="I81" i="10" s="1"/>
  <c r="D60" i="10"/>
  <c r="D68" i="10"/>
  <c r="D76" i="10"/>
  <c r="D75" i="10"/>
  <c r="D61" i="10"/>
  <c r="D69" i="10"/>
  <c r="D77" i="10"/>
  <c r="D62" i="10"/>
  <c r="D70" i="10"/>
  <c r="D78" i="10"/>
  <c r="D80" i="10"/>
  <c r="D63" i="10"/>
  <c r="D71" i="10"/>
  <c r="D79" i="10"/>
  <c r="D72" i="10"/>
  <c r="D59" i="10"/>
  <c r="D64" i="10"/>
  <c r="D67" i="10"/>
  <c r="D65" i="10"/>
  <c r="D73" i="10"/>
  <c r="D81" i="10"/>
  <c r="D66" i="10"/>
  <c r="D82" i="10"/>
  <c r="D58" i="10"/>
  <c r="D74" i="10"/>
  <c r="I58" i="10"/>
  <c r="Q20" i="10"/>
  <c r="Q28" i="10"/>
  <c r="R28" i="10" s="1"/>
  <c r="S28" i="10" s="1"/>
  <c r="Q36" i="10"/>
  <c r="Q13" i="10"/>
  <c r="I59" i="10" s="1"/>
  <c r="Q21" i="10"/>
  <c r="Q29" i="10"/>
  <c r="Q25" i="10"/>
  <c r="I71" i="10" s="1"/>
  <c r="Q14" i="10"/>
  <c r="Q22" i="10"/>
  <c r="I68" i="10" s="1"/>
  <c r="Q30" i="10"/>
  <c r="Q33" i="10"/>
  <c r="Q15" i="10"/>
  <c r="Q23" i="10"/>
  <c r="Q31" i="10"/>
  <c r="I77" i="10" s="1"/>
  <c r="Q17" i="10"/>
  <c r="I63" i="10" s="1"/>
  <c r="L61" i="10"/>
  <c r="L69" i="10"/>
  <c r="L77" i="10"/>
  <c r="L62" i="10"/>
  <c r="L70" i="10"/>
  <c r="L78" i="10"/>
  <c r="L63" i="10"/>
  <c r="L71" i="10"/>
  <c r="L79" i="10"/>
  <c r="L76" i="10"/>
  <c r="L64" i="10"/>
  <c r="L72" i="10"/>
  <c r="L80" i="10"/>
  <c r="L65" i="10"/>
  <c r="L73" i="10"/>
  <c r="L81" i="10"/>
  <c r="L58" i="10"/>
  <c r="L66" i="10"/>
  <c r="L74" i="10"/>
  <c r="L82" i="10"/>
  <c r="L68" i="10"/>
  <c r="L59" i="10"/>
  <c r="L67" i="10"/>
  <c r="L75" i="10"/>
  <c r="L60" i="10"/>
  <c r="Q16" i="10"/>
  <c r="Q24" i="10"/>
  <c r="I70" i="10" s="1"/>
  <c r="Q32" i="10"/>
  <c r="R32" i="10" s="1"/>
  <c r="S32" i="10" s="1"/>
  <c r="D29" i="10"/>
  <c r="D15" i="10"/>
  <c r="H14" i="10"/>
  <c r="H15" i="10"/>
  <c r="H22" i="10"/>
  <c r="H23" i="10"/>
  <c r="H30" i="10"/>
  <c r="H31" i="10"/>
  <c r="E14" i="10"/>
  <c r="Y14" i="10" s="1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13" i="10"/>
  <c r="X13" i="10" s="1"/>
  <c r="E17" i="10"/>
  <c r="E18" i="10"/>
  <c r="E19" i="10"/>
  <c r="E20" i="10"/>
  <c r="E21" i="10"/>
  <c r="X21" i="10" s="1"/>
  <c r="E25" i="10"/>
  <c r="E26" i="10"/>
  <c r="E27" i="10"/>
  <c r="E28" i="10"/>
  <c r="F28" i="10" s="1"/>
  <c r="E29" i="10"/>
  <c r="X29" i="10" s="1"/>
  <c r="E33" i="10"/>
  <c r="E34" i="10"/>
  <c r="E35" i="10"/>
  <c r="E36" i="10"/>
  <c r="F36" i="10" s="1"/>
  <c r="I62" i="10"/>
  <c r="I64" i="10"/>
  <c r="I67" i="10"/>
  <c r="I74" i="10"/>
  <c r="I75" i="10"/>
  <c r="I78" i="10"/>
  <c r="H12" i="10"/>
  <c r="H13" i="10"/>
  <c r="H20" i="10"/>
  <c r="H19" i="10"/>
  <c r="H28" i="10"/>
  <c r="H27" i="10"/>
  <c r="E32" i="10"/>
  <c r="E24" i="10"/>
  <c r="E16" i="10"/>
  <c r="H34" i="10"/>
  <c r="H26" i="10"/>
  <c r="H18" i="10"/>
  <c r="H21" i="10"/>
  <c r="D12" i="10"/>
  <c r="H36" i="10"/>
  <c r="H35" i="10"/>
  <c r="E31" i="10"/>
  <c r="E23" i="10"/>
  <c r="E15" i="10"/>
  <c r="H33" i="10"/>
  <c r="H25" i="10"/>
  <c r="H17" i="10"/>
  <c r="Y12" i="10"/>
  <c r="F20" i="10"/>
  <c r="D22" i="10"/>
  <c r="D18" i="10"/>
  <c r="D20" i="10"/>
  <c r="D25" i="10"/>
  <c r="E30" i="10"/>
  <c r="E22" i="10"/>
  <c r="H32" i="10"/>
  <c r="H24" i="10"/>
  <c r="H16" i="10"/>
  <c r="D14" i="10"/>
  <c r="D33" i="10"/>
  <c r="D30" i="10"/>
  <c r="D35" i="10"/>
  <c r="D26" i="10"/>
  <c r="D23" i="10"/>
  <c r="D17" i="10"/>
  <c r="D28" i="10"/>
  <c r="G5" i="10"/>
  <c r="R29" i="10"/>
  <c r="S29" i="10" s="1"/>
  <c r="R21" i="10"/>
  <c r="S21" i="10" s="1"/>
  <c r="R22" i="10"/>
  <c r="S22" i="10" s="1"/>
  <c r="D31" i="10"/>
  <c r="D34" i="10"/>
  <c r="D19" i="10"/>
  <c r="D27" i="10"/>
  <c r="D36" i="10"/>
  <c r="D16" i="10"/>
  <c r="D24" i="10"/>
  <c r="D32" i="10"/>
  <c r="D13" i="10"/>
  <c r="D21" i="10"/>
  <c r="D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12" i="6"/>
  <c r="G4" i="6"/>
  <c r="G3" i="6"/>
  <c r="G2" i="6"/>
  <c r="D5" i="6"/>
  <c r="D4" i="6"/>
  <c r="D3" i="6"/>
  <c r="D8" i="6"/>
  <c r="D7" i="6"/>
  <c r="D2" i="6"/>
  <c r="V26" i="15" l="1"/>
  <c r="U26" i="15"/>
  <c r="U19" i="15"/>
  <c r="V19" i="15"/>
  <c r="V31" i="15"/>
  <c r="U31" i="15"/>
  <c r="U22" i="15"/>
  <c r="V22" i="15"/>
  <c r="V30" i="15"/>
  <c r="U30" i="15"/>
  <c r="V13" i="15"/>
  <c r="U13" i="15"/>
  <c r="V34" i="15"/>
  <c r="U34" i="15"/>
  <c r="U25" i="15"/>
  <c r="V25" i="15"/>
  <c r="V17" i="15"/>
  <c r="U17" i="15"/>
  <c r="V29" i="15"/>
  <c r="U29" i="15"/>
  <c r="V32" i="15"/>
  <c r="U32" i="15"/>
  <c r="V23" i="15"/>
  <c r="U23" i="15"/>
  <c r="U28" i="15"/>
  <c r="V28" i="15"/>
  <c r="V35" i="15"/>
  <c r="U35" i="15"/>
  <c r="V18" i="15"/>
  <c r="U18" i="15"/>
  <c r="V24" i="15"/>
  <c r="U24" i="15"/>
  <c r="V36" i="15"/>
  <c r="U36" i="15"/>
  <c r="V16" i="15"/>
  <c r="U16" i="15"/>
  <c r="U33" i="15"/>
  <c r="V33" i="15"/>
  <c r="V15" i="15"/>
  <c r="U15" i="15"/>
  <c r="V21" i="15"/>
  <c r="U21" i="15"/>
  <c r="W14" i="15"/>
  <c r="X14" i="15" s="1"/>
  <c r="W27" i="15"/>
  <c r="X27" i="15" s="1"/>
  <c r="W20" i="15"/>
  <c r="X20" i="15" s="1"/>
  <c r="W12" i="15"/>
  <c r="X12" i="15" s="1"/>
  <c r="R34" i="10"/>
  <c r="S34" i="10" s="1"/>
  <c r="X14" i="10"/>
  <c r="N17" i="13"/>
  <c r="J13" i="13"/>
  <c r="K13" i="13" s="1"/>
  <c r="L13" i="13" s="1"/>
  <c r="N34" i="13"/>
  <c r="P34" i="13" s="1"/>
  <c r="G25" i="6"/>
  <c r="E19" i="6"/>
  <c r="F19" i="6" s="1"/>
  <c r="E27" i="6"/>
  <c r="F27" i="6" s="1"/>
  <c r="E35" i="6"/>
  <c r="F35" i="6" s="1"/>
  <c r="E20" i="6"/>
  <c r="F20" i="6" s="1"/>
  <c r="E28" i="6"/>
  <c r="F28" i="6" s="1"/>
  <c r="E36" i="6"/>
  <c r="F36" i="6" s="1"/>
  <c r="E30" i="6"/>
  <c r="F30" i="6" s="1"/>
  <c r="G30" i="6" s="1"/>
  <c r="E13" i="6"/>
  <c r="F13" i="6" s="1"/>
  <c r="G13" i="6" s="1"/>
  <c r="E21" i="6"/>
  <c r="F21" i="6" s="1"/>
  <c r="E29" i="6"/>
  <c r="F29" i="6" s="1"/>
  <c r="E22" i="6"/>
  <c r="F22" i="6" s="1"/>
  <c r="E15" i="6"/>
  <c r="F15" i="6" s="1"/>
  <c r="E23" i="6"/>
  <c r="F23" i="6" s="1"/>
  <c r="E31" i="6"/>
  <c r="F31" i="6" s="1"/>
  <c r="E16" i="6"/>
  <c r="F16" i="6" s="1"/>
  <c r="G16" i="6" s="1"/>
  <c r="E24" i="6"/>
  <c r="F24" i="6" s="1"/>
  <c r="G24" i="6" s="1"/>
  <c r="E32" i="6"/>
  <c r="F32" i="6" s="1"/>
  <c r="E17" i="6"/>
  <c r="F17" i="6" s="1"/>
  <c r="E25" i="6"/>
  <c r="F25" i="6" s="1"/>
  <c r="E33" i="6"/>
  <c r="F33" i="6" s="1"/>
  <c r="E18" i="6"/>
  <c r="F18" i="6" s="1"/>
  <c r="E26" i="6"/>
  <c r="F26" i="6" s="1"/>
  <c r="E34" i="6"/>
  <c r="F34" i="6" s="1"/>
  <c r="G34" i="6" s="1"/>
  <c r="E14" i="6"/>
  <c r="F14" i="6" s="1"/>
  <c r="G14" i="6" s="1"/>
  <c r="R17" i="10"/>
  <c r="S17" i="10" s="1"/>
  <c r="N19" i="13"/>
  <c r="J15" i="13"/>
  <c r="K15" i="13" s="1"/>
  <c r="L15" i="13" s="1"/>
  <c r="I32" i="13"/>
  <c r="M32" i="13" s="1"/>
  <c r="O32" i="13" s="1"/>
  <c r="N16" i="13"/>
  <c r="P16" i="13" s="1"/>
  <c r="N18" i="13"/>
  <c r="P18" i="13" s="1"/>
  <c r="N30" i="13"/>
  <c r="P30" i="13" s="1"/>
  <c r="N21" i="13"/>
  <c r="P21" i="13" s="1"/>
  <c r="N25" i="13"/>
  <c r="P25" i="13" s="1"/>
  <c r="Y21" i="10"/>
  <c r="R12" i="10"/>
  <c r="S12" i="10" s="1"/>
  <c r="N26" i="13"/>
  <c r="N29" i="13"/>
  <c r="P29" i="13" s="1"/>
  <c r="N33" i="13"/>
  <c r="P33" i="13" s="1"/>
  <c r="H12" i="6"/>
  <c r="J32" i="13"/>
  <c r="K32" i="13" s="1"/>
  <c r="L32" i="13" s="1"/>
  <c r="I30" i="13"/>
  <c r="M30" i="13" s="1"/>
  <c r="O30" i="13" s="1"/>
  <c r="J24" i="13"/>
  <c r="K24" i="13" s="1"/>
  <c r="L24" i="13" s="1"/>
  <c r="J35" i="13"/>
  <c r="K35" i="13" s="1"/>
  <c r="L35" i="13" s="1"/>
  <c r="F21" i="10"/>
  <c r="N12" i="13"/>
  <c r="P12" i="13" s="1"/>
  <c r="J31" i="13"/>
  <c r="K31" i="13" s="1"/>
  <c r="L31" i="13" s="1"/>
  <c r="I35" i="13"/>
  <c r="I14" i="13"/>
  <c r="P17" i="13"/>
  <c r="J28" i="13"/>
  <c r="K28" i="13" s="1"/>
  <c r="L28" i="13" s="1"/>
  <c r="N28" i="13" s="1"/>
  <c r="I36" i="13"/>
  <c r="M36" i="13" s="1"/>
  <c r="O36" i="13" s="1"/>
  <c r="M19" i="13"/>
  <c r="O19" i="13" s="1"/>
  <c r="I26" i="13"/>
  <c r="J22" i="13"/>
  <c r="K22" i="13" s="1"/>
  <c r="L22" i="13" s="1"/>
  <c r="P19" i="13"/>
  <c r="I27" i="13"/>
  <c r="M16" i="13"/>
  <c r="O16" i="13" s="1"/>
  <c r="J20" i="13"/>
  <c r="K20" i="13" s="1"/>
  <c r="L20" i="13" s="1"/>
  <c r="N20" i="13" s="1"/>
  <c r="I28" i="13"/>
  <c r="I31" i="13"/>
  <c r="J14" i="13"/>
  <c r="K14" i="13" s="1"/>
  <c r="L14" i="13" s="1"/>
  <c r="J23" i="13"/>
  <c r="K23" i="13" s="1"/>
  <c r="L23" i="13" s="1"/>
  <c r="J36" i="13"/>
  <c r="K36" i="13" s="1"/>
  <c r="L36" i="13" s="1"/>
  <c r="N36" i="13" s="1"/>
  <c r="P36" i="13" s="1"/>
  <c r="I20" i="13"/>
  <c r="J27" i="13"/>
  <c r="K27" i="13" s="1"/>
  <c r="L27" i="13" s="1"/>
  <c r="Y13" i="10"/>
  <c r="X12" i="10"/>
  <c r="F12" i="10"/>
  <c r="G12" i="10" s="1"/>
  <c r="Y29" i="10"/>
  <c r="R26" i="10"/>
  <c r="S26" i="10" s="1"/>
  <c r="F29" i="10"/>
  <c r="R25" i="10"/>
  <c r="S25" i="10" s="1"/>
  <c r="R24" i="10"/>
  <c r="S24" i="10" s="1"/>
  <c r="R35" i="10"/>
  <c r="S35" i="10" s="1"/>
  <c r="F14" i="10"/>
  <c r="I14" i="10" s="1"/>
  <c r="M14" i="10" s="1"/>
  <c r="R16" i="10"/>
  <c r="S16" i="10" s="1"/>
  <c r="R13" i="10"/>
  <c r="S13" i="10" s="1"/>
  <c r="R31" i="10"/>
  <c r="S31" i="10" s="1"/>
  <c r="F13" i="10"/>
  <c r="J13" i="10" s="1"/>
  <c r="K13" i="10" s="1"/>
  <c r="L13" i="10" s="1"/>
  <c r="N13" i="10" s="1"/>
  <c r="G33" i="6"/>
  <c r="D20" i="6"/>
  <c r="D15" i="6"/>
  <c r="D16" i="6"/>
  <c r="D17" i="6"/>
  <c r="D18" i="6"/>
  <c r="D19" i="6"/>
  <c r="D23" i="6"/>
  <c r="D26" i="6"/>
  <c r="D27" i="6"/>
  <c r="D31" i="6"/>
  <c r="D32" i="6"/>
  <c r="D33" i="6"/>
  <c r="D34" i="6"/>
  <c r="R30" i="10"/>
  <c r="S30" i="10" s="1"/>
  <c r="I76" i="10"/>
  <c r="R15" i="10"/>
  <c r="S15" i="10" s="1"/>
  <c r="I61" i="10"/>
  <c r="U61" i="10" s="1"/>
  <c r="V61" i="10" s="1"/>
  <c r="R33" i="10"/>
  <c r="S33" i="10" s="1"/>
  <c r="I79" i="10"/>
  <c r="U79" i="10" s="1"/>
  <c r="V79" i="10" s="1"/>
  <c r="R14" i="10"/>
  <c r="S14" i="10" s="1"/>
  <c r="I60" i="10"/>
  <c r="U60" i="10" s="1"/>
  <c r="V60" i="10" s="1"/>
  <c r="R27" i="10"/>
  <c r="S27" i="10" s="1"/>
  <c r="I73" i="10"/>
  <c r="U73" i="10" s="1"/>
  <c r="V73" i="10" s="1"/>
  <c r="R20" i="10"/>
  <c r="S20" i="10" s="1"/>
  <c r="I66" i="10"/>
  <c r="R36" i="10"/>
  <c r="S36" i="10" s="1"/>
  <c r="I82" i="10"/>
  <c r="N82" i="10" s="1"/>
  <c r="R23" i="10"/>
  <c r="S23" i="10" s="1"/>
  <c r="I69" i="10"/>
  <c r="U69" i="10" s="1"/>
  <c r="V69" i="10" s="1"/>
  <c r="Q58" i="10"/>
  <c r="U58" i="10"/>
  <c r="V58" i="10" s="1"/>
  <c r="R19" i="10"/>
  <c r="S19" i="10" s="1"/>
  <c r="I65" i="10"/>
  <c r="U65" i="10" s="1"/>
  <c r="V65" i="10" s="1"/>
  <c r="Y36" i="10"/>
  <c r="X36" i="10"/>
  <c r="F35" i="10"/>
  <c r="G35" i="10" s="1"/>
  <c r="X35" i="10"/>
  <c r="Y35" i="10"/>
  <c r="F34" i="10"/>
  <c r="J34" i="10" s="1"/>
  <c r="K34" i="10" s="1"/>
  <c r="L34" i="10" s="1"/>
  <c r="N34" i="10" s="1"/>
  <c r="X34" i="10"/>
  <c r="Y34" i="10"/>
  <c r="F33" i="10"/>
  <c r="G33" i="10" s="1"/>
  <c r="X33" i="10"/>
  <c r="Y33" i="10"/>
  <c r="Y28" i="10"/>
  <c r="X28" i="10"/>
  <c r="F27" i="10"/>
  <c r="I27" i="10" s="1"/>
  <c r="X27" i="10"/>
  <c r="Y27" i="10"/>
  <c r="F26" i="10"/>
  <c r="J26" i="10" s="1"/>
  <c r="K26" i="10" s="1"/>
  <c r="L26" i="10" s="1"/>
  <c r="N26" i="10" s="1"/>
  <c r="X26" i="10"/>
  <c r="Y26" i="10"/>
  <c r="F25" i="10"/>
  <c r="X25" i="10"/>
  <c r="Y25" i="10"/>
  <c r="Y20" i="10"/>
  <c r="X20" i="10"/>
  <c r="F19" i="10"/>
  <c r="X19" i="10"/>
  <c r="Y19" i="10"/>
  <c r="F18" i="10"/>
  <c r="X18" i="10"/>
  <c r="Y18" i="10"/>
  <c r="F17" i="10"/>
  <c r="G17" i="10" s="1"/>
  <c r="X17" i="10"/>
  <c r="Y17" i="10"/>
  <c r="U81" i="10"/>
  <c r="V81" i="10" s="1"/>
  <c r="U80" i="10"/>
  <c r="V80" i="10" s="1"/>
  <c r="U78" i="10"/>
  <c r="V78" i="10" s="1"/>
  <c r="U77" i="10"/>
  <c r="V77" i="10" s="1"/>
  <c r="U75" i="10"/>
  <c r="V75" i="10" s="1"/>
  <c r="U74" i="10"/>
  <c r="V74" i="10" s="1"/>
  <c r="U72" i="10"/>
  <c r="V72" i="10" s="1"/>
  <c r="U71" i="10"/>
  <c r="V71" i="10" s="1"/>
  <c r="U70" i="10"/>
  <c r="V70" i="10" s="1"/>
  <c r="U68" i="10"/>
  <c r="V68" i="10" s="1"/>
  <c r="U67" i="10"/>
  <c r="V67" i="10" s="1"/>
  <c r="U64" i="10"/>
  <c r="V64" i="10" s="1"/>
  <c r="U63" i="10"/>
  <c r="V63" i="10" s="1"/>
  <c r="U62" i="10"/>
  <c r="V62" i="10" s="1"/>
  <c r="U59" i="10"/>
  <c r="V59" i="10" s="1"/>
  <c r="F30" i="10"/>
  <c r="G30" i="10" s="1"/>
  <c r="X30" i="10"/>
  <c r="Y30" i="10"/>
  <c r="F15" i="10"/>
  <c r="X15" i="10"/>
  <c r="Y15" i="10"/>
  <c r="F23" i="10"/>
  <c r="I23" i="10" s="1"/>
  <c r="M23" i="10" s="1"/>
  <c r="X23" i="10"/>
  <c r="Y23" i="10"/>
  <c r="Y32" i="10"/>
  <c r="F32" i="10"/>
  <c r="J32" i="10" s="1"/>
  <c r="K32" i="10" s="1"/>
  <c r="L32" i="10" s="1"/>
  <c r="N32" i="10" s="1"/>
  <c r="X32" i="10"/>
  <c r="F31" i="10"/>
  <c r="I31" i="10" s="1"/>
  <c r="M31" i="10" s="1"/>
  <c r="X31" i="10"/>
  <c r="Y31" i="10"/>
  <c r="Y24" i="10"/>
  <c r="F24" i="10"/>
  <c r="G24" i="10" s="1"/>
  <c r="X24" i="10"/>
  <c r="F16" i="10"/>
  <c r="I16" i="10" s="1"/>
  <c r="Y16" i="10"/>
  <c r="X16" i="10"/>
  <c r="X22" i="10"/>
  <c r="Y22" i="10"/>
  <c r="F22" i="10"/>
  <c r="J22" i="10" s="1"/>
  <c r="K22" i="10" s="1"/>
  <c r="L22" i="10" s="1"/>
  <c r="N22" i="10" s="1"/>
  <c r="G29" i="10"/>
  <c r="G26" i="10"/>
  <c r="G36" i="10"/>
  <c r="J25" i="10"/>
  <c r="K25" i="10" s="1"/>
  <c r="L25" i="10" s="1"/>
  <c r="N25" i="10" s="1"/>
  <c r="I20" i="10"/>
  <c r="M20" i="10" s="1"/>
  <c r="I21" i="10"/>
  <c r="J19" i="10"/>
  <c r="K19" i="10" s="1"/>
  <c r="L19" i="10" s="1"/>
  <c r="N19" i="10" s="1"/>
  <c r="G18" i="10"/>
  <c r="J15" i="10"/>
  <c r="K15" i="10" s="1"/>
  <c r="L15" i="10" s="1"/>
  <c r="N15" i="10" s="1"/>
  <c r="J28" i="10"/>
  <c r="K28" i="10" s="1"/>
  <c r="L28" i="10" s="1"/>
  <c r="N28" i="10" s="1"/>
  <c r="J18" i="10"/>
  <c r="K18" i="10" s="1"/>
  <c r="L18" i="10" s="1"/>
  <c r="N18" i="10" s="1"/>
  <c r="J29" i="10"/>
  <c r="K29" i="10" s="1"/>
  <c r="L29" i="10" s="1"/>
  <c r="N29" i="10" s="1"/>
  <c r="J33" i="10"/>
  <c r="K33" i="10" s="1"/>
  <c r="L33" i="10" s="1"/>
  <c r="N33" i="10" s="1"/>
  <c r="J17" i="10"/>
  <c r="K17" i="10" s="1"/>
  <c r="L17" i="10" s="1"/>
  <c r="N17" i="10" s="1"/>
  <c r="J36" i="10"/>
  <c r="K36" i="10" s="1"/>
  <c r="L36" i="10" s="1"/>
  <c r="N36" i="10" s="1"/>
  <c r="I17" i="10"/>
  <c r="I18" i="10"/>
  <c r="I29" i="10"/>
  <c r="I22" i="10"/>
  <c r="I36" i="10"/>
  <c r="I33" i="10"/>
  <c r="I26" i="10"/>
  <c r="Q29" i="6"/>
  <c r="Q33" i="6"/>
  <c r="R33" i="6" s="1"/>
  <c r="S33" i="6" s="1"/>
  <c r="Q22" i="6"/>
  <c r="R22" i="6" s="1"/>
  <c r="S22" i="6" s="1"/>
  <c r="Q21" i="6"/>
  <c r="R21" i="6" s="1"/>
  <c r="S21" i="6" s="1"/>
  <c r="H20" i="6"/>
  <c r="G20" i="6"/>
  <c r="G17" i="6"/>
  <c r="Q30" i="6"/>
  <c r="Q14" i="6"/>
  <c r="R14" i="6" s="1"/>
  <c r="S14" i="6" s="1"/>
  <c r="Q13" i="6"/>
  <c r="R13" i="6" s="1"/>
  <c r="S13" i="6" s="1"/>
  <c r="H36" i="6"/>
  <c r="H28" i="6"/>
  <c r="D25" i="6"/>
  <c r="H35" i="6"/>
  <c r="H27" i="6"/>
  <c r="D35" i="6"/>
  <c r="D24" i="6"/>
  <c r="G32" i="6"/>
  <c r="Q25" i="6"/>
  <c r="Q17" i="6"/>
  <c r="R17" i="6" s="1"/>
  <c r="S17" i="6" s="1"/>
  <c r="Q32" i="6"/>
  <c r="Q24" i="6"/>
  <c r="R24" i="6" s="1"/>
  <c r="S24" i="6" s="1"/>
  <c r="Q16" i="6"/>
  <c r="G19" i="6"/>
  <c r="G5" i="6"/>
  <c r="H34" i="6"/>
  <c r="Q31" i="6"/>
  <c r="R31" i="6" s="1"/>
  <c r="S31" i="6" s="1"/>
  <c r="Q23" i="6"/>
  <c r="R23" i="6" s="1"/>
  <c r="S23" i="6" s="1"/>
  <c r="Q15" i="6"/>
  <c r="G26" i="6"/>
  <c r="G18" i="6"/>
  <c r="H19" i="6"/>
  <c r="H26" i="6"/>
  <c r="H33" i="6"/>
  <c r="I33" i="6" s="1"/>
  <c r="M33" i="6" s="1"/>
  <c r="O33" i="6" s="1"/>
  <c r="Q36" i="6"/>
  <c r="R36" i="6" s="1"/>
  <c r="S36" i="6" s="1"/>
  <c r="Q28" i="6"/>
  <c r="R28" i="6" s="1"/>
  <c r="S28" i="6" s="1"/>
  <c r="Q20" i="6"/>
  <c r="R20" i="6" s="1"/>
  <c r="S20" i="6" s="1"/>
  <c r="D30" i="6"/>
  <c r="D22" i="6"/>
  <c r="D14" i="6"/>
  <c r="G31" i="6"/>
  <c r="G23" i="6"/>
  <c r="G15" i="6"/>
  <c r="H32" i="6"/>
  <c r="H24" i="6"/>
  <c r="H16" i="6"/>
  <c r="H25" i="6"/>
  <c r="I25" i="6" s="1"/>
  <c r="M25" i="6" s="1"/>
  <c r="O25" i="6" s="1"/>
  <c r="Q35" i="6"/>
  <c r="R35" i="6" s="1"/>
  <c r="S35" i="6" s="1"/>
  <c r="Q27" i="6"/>
  <c r="R27" i="6" s="1"/>
  <c r="S27" i="6" s="1"/>
  <c r="Q19" i="6"/>
  <c r="R19" i="6" s="1"/>
  <c r="S19" i="6" s="1"/>
  <c r="D12" i="6"/>
  <c r="D29" i="6"/>
  <c r="D21" i="6"/>
  <c r="D13" i="6"/>
  <c r="G22" i="6"/>
  <c r="H31" i="6"/>
  <c r="I31" i="6" s="1"/>
  <c r="M31" i="6" s="1"/>
  <c r="O31" i="6" s="1"/>
  <c r="H23" i="6"/>
  <c r="I23" i="6" s="1"/>
  <c r="M23" i="6" s="1"/>
  <c r="O23" i="6" s="1"/>
  <c r="H15" i="6"/>
  <c r="H18" i="6"/>
  <c r="Q12" i="6"/>
  <c r="R12" i="6" s="1"/>
  <c r="S12" i="6" s="1"/>
  <c r="H17" i="6"/>
  <c r="I17" i="6" s="1"/>
  <c r="M17" i="6" s="1"/>
  <c r="O17" i="6" s="1"/>
  <c r="R32" i="6"/>
  <c r="S32" i="6" s="1"/>
  <c r="R29" i="6"/>
  <c r="S29" i="6" s="1"/>
  <c r="R25" i="6"/>
  <c r="S25" i="6" s="1"/>
  <c r="R30" i="6"/>
  <c r="S30" i="6" s="1"/>
  <c r="R15" i="6"/>
  <c r="S15" i="6" s="1"/>
  <c r="R16" i="6"/>
  <c r="S16" i="6" s="1"/>
  <c r="Q34" i="6"/>
  <c r="R34" i="6" s="1"/>
  <c r="S34" i="6" s="1"/>
  <c r="Q26" i="6"/>
  <c r="R26" i="6" s="1"/>
  <c r="S26" i="6" s="1"/>
  <c r="Q18" i="6"/>
  <c r="R18" i="6" s="1"/>
  <c r="S18" i="6" s="1"/>
  <c r="D36" i="6"/>
  <c r="D28" i="6"/>
  <c r="E12" i="6"/>
  <c r="G29" i="6"/>
  <c r="G21" i="6"/>
  <c r="H30" i="6"/>
  <c r="H22" i="6"/>
  <c r="I22" i="6" s="1"/>
  <c r="H14" i="6"/>
  <c r="I14" i="6" s="1"/>
  <c r="G36" i="6"/>
  <c r="G28" i="6"/>
  <c r="H29" i="6"/>
  <c r="H21" i="6"/>
  <c r="H13" i="6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5" i="4"/>
  <c r="B2" i="4"/>
  <c r="I11" i="4" s="1"/>
  <c r="L11" i="4" s="1"/>
  <c r="I9" i="4"/>
  <c r="L9" i="4" s="1"/>
  <c r="I16" i="4"/>
  <c r="L16" i="4" s="1"/>
  <c r="B1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5" i="4"/>
  <c r="D19" i="4"/>
  <c r="D18" i="4"/>
  <c r="D2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I61" i="2"/>
  <c r="I62" i="2"/>
  <c r="I63" i="2"/>
  <c r="I64" i="2"/>
  <c r="I65" i="2"/>
  <c r="I66" i="2"/>
  <c r="I67" i="2"/>
  <c r="I68" i="2"/>
  <c r="I69" i="2"/>
  <c r="I70" i="2"/>
  <c r="I71" i="2"/>
  <c r="I7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83" i="2"/>
  <c r="H72" i="2"/>
  <c r="H67" i="2"/>
  <c r="H68" i="2"/>
  <c r="H69" i="2"/>
  <c r="H70" i="2"/>
  <c r="H71" i="2"/>
  <c r="B15" i="5"/>
  <c r="C15" i="5" s="1"/>
  <c r="D15" i="5" s="1"/>
  <c r="H62" i="2"/>
  <c r="H63" i="2"/>
  <c r="H64" i="2"/>
  <c r="H65" i="2"/>
  <c r="H66" i="2"/>
  <c r="J66" i="2" s="1"/>
  <c r="L66" i="2" s="1"/>
  <c r="H61" i="2"/>
  <c r="B51" i="2"/>
  <c r="B52" i="2"/>
  <c r="B55" i="2" s="1"/>
  <c r="B5" i="5"/>
  <c r="B4" i="5"/>
  <c r="B3" i="5"/>
  <c r="F2" i="5"/>
  <c r="D2" i="5"/>
  <c r="B2" i="5"/>
  <c r="B10" i="5"/>
  <c r="C10" i="5" s="1"/>
  <c r="D10" i="5" s="1"/>
  <c r="B11" i="5"/>
  <c r="C11" i="5" s="1"/>
  <c r="D11" i="5" s="1"/>
  <c r="B12" i="5"/>
  <c r="C12" i="5" s="1"/>
  <c r="D12" i="5" s="1"/>
  <c r="B13" i="5"/>
  <c r="C13" i="5" s="1"/>
  <c r="D13" i="5" s="1"/>
  <c r="B14" i="5"/>
  <c r="C14" i="5" s="1"/>
  <c r="D14" i="5" s="1"/>
  <c r="B16" i="5"/>
  <c r="C16" i="5" s="1"/>
  <c r="D16" i="5" s="1"/>
  <c r="B17" i="5"/>
  <c r="C17" i="5" s="1"/>
  <c r="D17" i="5" s="1"/>
  <c r="B18" i="5"/>
  <c r="C18" i="5" s="1"/>
  <c r="D18" i="5" s="1"/>
  <c r="B19" i="5"/>
  <c r="C19" i="5" s="1"/>
  <c r="D19" i="5" s="1"/>
  <c r="B20" i="5"/>
  <c r="C20" i="5" s="1"/>
  <c r="D20" i="5" s="1"/>
  <c r="B21" i="5"/>
  <c r="C21" i="5" s="1"/>
  <c r="D21" i="5" s="1"/>
  <c r="B22" i="5"/>
  <c r="C22" i="5" s="1"/>
  <c r="D22" i="5" s="1"/>
  <c r="B23" i="5"/>
  <c r="C23" i="5" s="1"/>
  <c r="D23" i="5" s="1"/>
  <c r="B24" i="5"/>
  <c r="C24" i="5" s="1"/>
  <c r="D24" i="5" s="1"/>
  <c r="B25" i="5"/>
  <c r="C25" i="5" s="1"/>
  <c r="D25" i="5" s="1"/>
  <c r="B26" i="5"/>
  <c r="C26" i="5" s="1"/>
  <c r="D26" i="5" s="1"/>
  <c r="B27" i="5"/>
  <c r="C27" i="5" s="1"/>
  <c r="D27" i="5" s="1"/>
  <c r="B28" i="5"/>
  <c r="C28" i="5" s="1"/>
  <c r="D28" i="5" s="1"/>
  <c r="B29" i="5"/>
  <c r="C29" i="5" s="1"/>
  <c r="D29" i="5" s="1"/>
  <c r="B30" i="5"/>
  <c r="C30" i="5" s="1"/>
  <c r="D30" i="5" s="1"/>
  <c r="B31" i="5"/>
  <c r="C31" i="5" s="1"/>
  <c r="D31" i="5" s="1"/>
  <c r="B32" i="5"/>
  <c r="C32" i="5" s="1"/>
  <c r="D32" i="5" s="1"/>
  <c r="B33" i="5"/>
  <c r="C33" i="5" s="1"/>
  <c r="D33" i="5" s="1"/>
  <c r="B9" i="5"/>
  <c r="C9" i="5" s="1"/>
  <c r="D9" i="5" s="1"/>
  <c r="B32" i="3"/>
  <c r="B33" i="3"/>
  <c r="B34" i="3"/>
  <c r="B37" i="3" s="1"/>
  <c r="W23" i="15" l="1"/>
  <c r="X23" i="15" s="1"/>
  <c r="W16" i="15"/>
  <c r="X16" i="15" s="1"/>
  <c r="W22" i="15"/>
  <c r="X22" i="15" s="1"/>
  <c r="W18" i="15"/>
  <c r="X18" i="15" s="1"/>
  <c r="W34" i="15"/>
  <c r="X34" i="15" s="1"/>
  <c r="W21" i="15"/>
  <c r="X21" i="15" s="1"/>
  <c r="W35" i="15"/>
  <c r="X35" i="15" s="1"/>
  <c r="W25" i="15"/>
  <c r="X25" i="15" s="1"/>
  <c r="W13" i="15"/>
  <c r="X13" i="15" s="1"/>
  <c r="W15" i="15"/>
  <c r="X15" i="15" s="1"/>
  <c r="W29" i="15"/>
  <c r="X29" i="15" s="1"/>
  <c r="W30" i="15"/>
  <c r="X30" i="15" s="1"/>
  <c r="W28" i="15"/>
  <c r="X28" i="15" s="1"/>
  <c r="W32" i="15"/>
  <c r="X32" i="15" s="1"/>
  <c r="W36" i="15"/>
  <c r="X36" i="15" s="1"/>
  <c r="W24" i="15"/>
  <c r="X24" i="15" s="1"/>
  <c r="W19" i="15"/>
  <c r="X19" i="15" s="1"/>
  <c r="W17" i="15"/>
  <c r="X17" i="15" s="1"/>
  <c r="W33" i="15"/>
  <c r="X33" i="15" s="1"/>
  <c r="W26" i="15"/>
  <c r="X26" i="15" s="1"/>
  <c r="W31" i="15"/>
  <c r="X31" i="15" s="1"/>
  <c r="S58" i="10"/>
  <c r="AC58" i="10"/>
  <c r="AD58" i="10" s="1"/>
  <c r="AE58" i="10" s="1"/>
  <c r="AF58" i="10" s="1"/>
  <c r="AG58" i="10" s="1"/>
  <c r="X58" i="10"/>
  <c r="R16" i="13"/>
  <c r="Q16" i="13"/>
  <c r="Q33" i="13"/>
  <c r="S33" i="13" s="1"/>
  <c r="T33" i="13" s="1"/>
  <c r="Z33" i="13" s="1"/>
  <c r="R33" i="13"/>
  <c r="V33" i="13" s="1"/>
  <c r="W33" i="13" s="1"/>
  <c r="X33" i="13" s="1"/>
  <c r="Y33" i="13" s="1"/>
  <c r="R19" i="13"/>
  <c r="V19" i="13" s="1"/>
  <c r="W19" i="13" s="1"/>
  <c r="X19" i="13" s="1"/>
  <c r="Y19" i="13" s="1"/>
  <c r="Q19" i="13"/>
  <c r="S19" i="13" s="1"/>
  <c r="T19" i="13" s="1"/>
  <c r="Z19" i="13" s="1"/>
  <c r="N24" i="13"/>
  <c r="P24" i="13" s="1"/>
  <c r="R30" i="13"/>
  <c r="V30" i="13" s="1"/>
  <c r="W30" i="13" s="1"/>
  <c r="X30" i="13" s="1"/>
  <c r="Y30" i="13" s="1"/>
  <c r="AA30" i="13" s="1"/>
  <c r="AB30" i="13" s="1"/>
  <c r="Q30" i="13"/>
  <c r="S30" i="13" s="1"/>
  <c r="T30" i="13" s="1"/>
  <c r="Z30" i="13" s="1"/>
  <c r="N15" i="13"/>
  <c r="P15" i="13" s="1"/>
  <c r="U33" i="6"/>
  <c r="R34" i="13"/>
  <c r="V34" i="13" s="1"/>
  <c r="W34" i="13" s="1"/>
  <c r="X34" i="13" s="1"/>
  <c r="Y34" i="13" s="1"/>
  <c r="Q34" i="13"/>
  <c r="S34" i="13" s="1"/>
  <c r="T34" i="13" s="1"/>
  <c r="Z34" i="13" s="1"/>
  <c r="AA34" i="13" s="1"/>
  <c r="AB34" i="13" s="1"/>
  <c r="N27" i="13"/>
  <c r="N22" i="13"/>
  <c r="P22" i="13" s="1"/>
  <c r="N31" i="13"/>
  <c r="N32" i="13"/>
  <c r="P32" i="13" s="1"/>
  <c r="Q29" i="13"/>
  <c r="S29" i="13" s="1"/>
  <c r="T29" i="13" s="1"/>
  <c r="Z29" i="13" s="1"/>
  <c r="AA29" i="13" s="1"/>
  <c r="AB29" i="13" s="1"/>
  <c r="R29" i="13"/>
  <c r="V29" i="13" s="1"/>
  <c r="W29" i="13" s="1"/>
  <c r="X29" i="13" s="1"/>
  <c r="Y29" i="13" s="1"/>
  <c r="Q25" i="13"/>
  <c r="S25" i="13" s="1"/>
  <c r="T25" i="13" s="1"/>
  <c r="Z25" i="13" s="1"/>
  <c r="R25" i="13"/>
  <c r="V25" i="13" s="1"/>
  <c r="W25" i="13" s="1"/>
  <c r="X25" i="13" s="1"/>
  <c r="Y25" i="13" s="1"/>
  <c r="AA25" i="13" s="1"/>
  <c r="AB25" i="13" s="1"/>
  <c r="N13" i="13"/>
  <c r="P13" i="13" s="1"/>
  <c r="N35" i="13"/>
  <c r="J65" i="2"/>
  <c r="J14" i="10"/>
  <c r="K14" i="10" s="1"/>
  <c r="L14" i="10" s="1"/>
  <c r="N14" i="10" s="1"/>
  <c r="J35" i="10"/>
  <c r="K35" i="10" s="1"/>
  <c r="L35" i="10" s="1"/>
  <c r="N35" i="10" s="1"/>
  <c r="G14" i="10"/>
  <c r="Q12" i="13"/>
  <c r="S12" i="13" s="1"/>
  <c r="T12" i="13" s="1"/>
  <c r="Z12" i="13" s="1"/>
  <c r="R12" i="13"/>
  <c r="V12" i="13" s="1"/>
  <c r="W12" i="13" s="1"/>
  <c r="X12" i="13" s="1"/>
  <c r="Y12" i="13" s="1"/>
  <c r="AA12" i="13" s="1"/>
  <c r="AB12" i="13" s="1"/>
  <c r="AD12" i="13" s="1"/>
  <c r="R18" i="13"/>
  <c r="V18" i="13" s="1"/>
  <c r="W18" i="13" s="1"/>
  <c r="X18" i="13" s="1"/>
  <c r="Y18" i="13" s="1"/>
  <c r="AA18" i="13" s="1"/>
  <c r="AB18" i="13" s="1"/>
  <c r="Q18" i="13"/>
  <c r="S18" i="13" s="1"/>
  <c r="T18" i="13" s="1"/>
  <c r="Z18" i="13" s="1"/>
  <c r="G12" i="6"/>
  <c r="F12" i="6"/>
  <c r="I24" i="6"/>
  <c r="M24" i="6" s="1"/>
  <c r="O24" i="6" s="1"/>
  <c r="S16" i="13"/>
  <c r="T16" i="13" s="1"/>
  <c r="Z16" i="13" s="1"/>
  <c r="N23" i="13"/>
  <c r="P23" i="13" s="1"/>
  <c r="N14" i="13"/>
  <c r="I17" i="4"/>
  <c r="L17" i="4" s="1"/>
  <c r="R36" i="13"/>
  <c r="V36" i="13" s="1"/>
  <c r="W36" i="13" s="1"/>
  <c r="X36" i="13" s="1"/>
  <c r="Y36" i="13" s="1"/>
  <c r="Q36" i="13"/>
  <c r="S36" i="13" s="1"/>
  <c r="T36" i="13" s="1"/>
  <c r="Z36" i="13" s="1"/>
  <c r="AA36" i="13" s="1"/>
  <c r="AB36" i="13" s="1"/>
  <c r="AD36" i="13" s="1"/>
  <c r="Q17" i="13"/>
  <c r="S17" i="13" s="1"/>
  <c r="T17" i="13" s="1"/>
  <c r="Z17" i="13" s="1"/>
  <c r="R17" i="13"/>
  <c r="V17" i="13" s="1"/>
  <c r="W17" i="13" s="1"/>
  <c r="X17" i="13" s="1"/>
  <c r="Y17" i="13" s="1"/>
  <c r="Q21" i="13"/>
  <c r="S21" i="13" s="1"/>
  <c r="T21" i="13" s="1"/>
  <c r="Z21" i="13" s="1"/>
  <c r="AA21" i="13" s="1"/>
  <c r="AB21" i="13" s="1"/>
  <c r="R21" i="13"/>
  <c r="V21" i="13" s="1"/>
  <c r="W21" i="13" s="1"/>
  <c r="X21" i="13" s="1"/>
  <c r="Y21" i="13" s="1"/>
  <c r="V16" i="13"/>
  <c r="W16" i="13" s="1"/>
  <c r="X16" i="13" s="1"/>
  <c r="Y16" i="13" s="1"/>
  <c r="AA16" i="13" s="1"/>
  <c r="AB16" i="13" s="1"/>
  <c r="AD16" i="13" s="1"/>
  <c r="U82" i="10"/>
  <c r="V82" i="10" s="1"/>
  <c r="M65" i="10"/>
  <c r="U66" i="10"/>
  <c r="V66" i="10" s="1"/>
  <c r="K60" i="10"/>
  <c r="M27" i="13"/>
  <c r="O27" i="13" s="1"/>
  <c r="P27" i="13" s="1"/>
  <c r="M26" i="13"/>
  <c r="M14" i="13"/>
  <c r="O14" i="13" s="1"/>
  <c r="P14" i="13" s="1"/>
  <c r="M28" i="13"/>
  <c r="O28" i="13" s="1"/>
  <c r="P28" i="13" s="1"/>
  <c r="M31" i="13"/>
  <c r="O31" i="13" s="1"/>
  <c r="P31" i="13" s="1"/>
  <c r="M20" i="13"/>
  <c r="O20" i="13" s="1"/>
  <c r="P20" i="13" s="1"/>
  <c r="M35" i="13"/>
  <c r="O35" i="13" s="1"/>
  <c r="G27" i="10"/>
  <c r="N58" i="10"/>
  <c r="O58" i="10" s="1"/>
  <c r="U24" i="6"/>
  <c r="U25" i="6"/>
  <c r="U17" i="6"/>
  <c r="K69" i="10"/>
  <c r="U76" i="10"/>
  <c r="V76" i="10" s="1"/>
  <c r="I16" i="6"/>
  <c r="U16" i="6" s="1"/>
  <c r="K79" i="10"/>
  <c r="I14" i="4"/>
  <c r="L14" i="4" s="1"/>
  <c r="I12" i="10"/>
  <c r="U12" i="10" s="1"/>
  <c r="H17" i="5"/>
  <c r="I10" i="4"/>
  <c r="L10" i="4" s="1"/>
  <c r="I32" i="6"/>
  <c r="M32" i="6" s="1"/>
  <c r="O32" i="6" s="1"/>
  <c r="J31" i="10"/>
  <c r="K31" i="10" s="1"/>
  <c r="L31" i="10" s="1"/>
  <c r="N31" i="10" s="1"/>
  <c r="I34" i="10"/>
  <c r="M34" i="10" s="1"/>
  <c r="K73" i="10"/>
  <c r="J64" i="2"/>
  <c r="J67" i="2"/>
  <c r="K67" i="2" s="1"/>
  <c r="U32" i="6"/>
  <c r="J72" i="2"/>
  <c r="K72" i="2" s="1"/>
  <c r="I4" i="4"/>
  <c r="L4" i="4" s="1"/>
  <c r="I13" i="6"/>
  <c r="M13" i="6" s="1"/>
  <c r="O13" i="6" s="1"/>
  <c r="G13" i="10"/>
  <c r="G34" i="10"/>
  <c r="K58" i="10"/>
  <c r="H21" i="5"/>
  <c r="I18" i="4"/>
  <c r="L18" i="4" s="1"/>
  <c r="I21" i="6"/>
  <c r="M21" i="6" s="1"/>
  <c r="O21" i="6" s="1"/>
  <c r="E9" i="5"/>
  <c r="F9" i="5" s="1"/>
  <c r="G9" i="5" s="1"/>
  <c r="H9" i="5"/>
  <c r="E33" i="5"/>
  <c r="F33" i="5" s="1"/>
  <c r="H33" i="5"/>
  <c r="I33" i="5" s="1"/>
  <c r="E32" i="5"/>
  <c r="F32" i="5" s="1"/>
  <c r="H32" i="5"/>
  <c r="E31" i="5"/>
  <c r="F31" i="5" s="1"/>
  <c r="G31" i="5" s="1"/>
  <c r="H31" i="5"/>
  <c r="I31" i="5" s="1"/>
  <c r="E30" i="5"/>
  <c r="F30" i="5" s="1"/>
  <c r="G30" i="5" s="1"/>
  <c r="H30" i="5"/>
  <c r="E29" i="5"/>
  <c r="F29" i="5" s="1"/>
  <c r="H29" i="5"/>
  <c r="I29" i="5" s="1"/>
  <c r="E28" i="5"/>
  <c r="F28" i="5" s="1"/>
  <c r="H28" i="5"/>
  <c r="E27" i="5"/>
  <c r="F27" i="5" s="1"/>
  <c r="H27" i="5"/>
  <c r="I27" i="5" s="1"/>
  <c r="E26" i="5"/>
  <c r="F26" i="5" s="1"/>
  <c r="H26" i="5"/>
  <c r="E25" i="5"/>
  <c r="F25" i="5" s="1"/>
  <c r="G25" i="5" s="1"/>
  <c r="H25" i="5"/>
  <c r="I25" i="5" s="1"/>
  <c r="E24" i="5"/>
  <c r="F24" i="5" s="1"/>
  <c r="H24" i="5"/>
  <c r="E23" i="5"/>
  <c r="F23" i="5" s="1"/>
  <c r="G23" i="5" s="1"/>
  <c r="H23" i="5"/>
  <c r="I23" i="5" s="1"/>
  <c r="E22" i="5"/>
  <c r="F22" i="5" s="1"/>
  <c r="G22" i="5" s="1"/>
  <c r="H22" i="5"/>
  <c r="E20" i="5"/>
  <c r="F20" i="5" s="1"/>
  <c r="H20" i="5"/>
  <c r="I20" i="5" s="1"/>
  <c r="E19" i="5"/>
  <c r="F19" i="5" s="1"/>
  <c r="H19" i="5"/>
  <c r="E18" i="5"/>
  <c r="F18" i="5" s="1"/>
  <c r="H18" i="5"/>
  <c r="I18" i="5" s="1"/>
  <c r="E16" i="5"/>
  <c r="F16" i="5" s="1"/>
  <c r="H16" i="5"/>
  <c r="E14" i="5"/>
  <c r="F14" i="5" s="1"/>
  <c r="G14" i="5" s="1"/>
  <c r="H14" i="5"/>
  <c r="E13" i="5"/>
  <c r="F13" i="5" s="1"/>
  <c r="H13" i="5"/>
  <c r="E12" i="5"/>
  <c r="F12" i="5" s="1"/>
  <c r="G12" i="5" s="1"/>
  <c r="H12" i="5"/>
  <c r="E11" i="5"/>
  <c r="F11" i="5" s="1"/>
  <c r="H11" i="5"/>
  <c r="E10" i="5"/>
  <c r="F10" i="5" s="1"/>
  <c r="H10" i="5"/>
  <c r="I10" i="5" s="1"/>
  <c r="J9" i="5"/>
  <c r="S10" i="5"/>
  <c r="T10" i="5" s="1"/>
  <c r="U10" i="5" s="1"/>
  <c r="S11" i="5"/>
  <c r="T11" i="5" s="1"/>
  <c r="U11" i="5" s="1"/>
  <c r="S12" i="5"/>
  <c r="T12" i="5" s="1"/>
  <c r="U12" i="5" s="1"/>
  <c r="S13" i="5"/>
  <c r="T13" i="5" s="1"/>
  <c r="U13" i="5" s="1"/>
  <c r="S14" i="5"/>
  <c r="T14" i="5" s="1"/>
  <c r="U14" i="5" s="1"/>
  <c r="S15" i="5"/>
  <c r="T15" i="5" s="1"/>
  <c r="U15" i="5" s="1"/>
  <c r="S16" i="5"/>
  <c r="T16" i="5" s="1"/>
  <c r="U16" i="5" s="1"/>
  <c r="S17" i="5"/>
  <c r="T17" i="5" s="1"/>
  <c r="U17" i="5" s="1"/>
  <c r="S18" i="5"/>
  <c r="T18" i="5" s="1"/>
  <c r="U18" i="5" s="1"/>
  <c r="S19" i="5"/>
  <c r="T19" i="5" s="1"/>
  <c r="U19" i="5" s="1"/>
  <c r="S20" i="5"/>
  <c r="T20" i="5" s="1"/>
  <c r="U20" i="5" s="1"/>
  <c r="S21" i="5"/>
  <c r="T21" i="5" s="1"/>
  <c r="U21" i="5" s="1"/>
  <c r="S22" i="5"/>
  <c r="T22" i="5" s="1"/>
  <c r="U22" i="5" s="1"/>
  <c r="S23" i="5"/>
  <c r="T23" i="5" s="1"/>
  <c r="U23" i="5" s="1"/>
  <c r="S24" i="5"/>
  <c r="T24" i="5" s="1"/>
  <c r="U24" i="5" s="1"/>
  <c r="S25" i="5"/>
  <c r="T25" i="5" s="1"/>
  <c r="U25" i="5" s="1"/>
  <c r="S26" i="5"/>
  <c r="T26" i="5" s="1"/>
  <c r="U26" i="5" s="1"/>
  <c r="S27" i="5"/>
  <c r="T27" i="5" s="1"/>
  <c r="U27" i="5" s="1"/>
  <c r="S28" i="5"/>
  <c r="T28" i="5" s="1"/>
  <c r="U28" i="5" s="1"/>
  <c r="S29" i="5"/>
  <c r="T29" i="5" s="1"/>
  <c r="U29" i="5" s="1"/>
  <c r="S30" i="5"/>
  <c r="T30" i="5" s="1"/>
  <c r="U30" i="5" s="1"/>
  <c r="S31" i="5"/>
  <c r="T31" i="5" s="1"/>
  <c r="U31" i="5" s="1"/>
  <c r="S32" i="5"/>
  <c r="T32" i="5" s="1"/>
  <c r="U32" i="5" s="1"/>
  <c r="S33" i="5"/>
  <c r="T33" i="5" s="1"/>
  <c r="U33" i="5" s="1"/>
  <c r="S9" i="5"/>
  <c r="T9" i="5" s="1"/>
  <c r="U9" i="5" s="1"/>
  <c r="D56" i="2"/>
  <c r="E56" i="2" s="1"/>
  <c r="D58" i="2"/>
  <c r="E58" i="2" s="1"/>
  <c r="D59" i="2"/>
  <c r="E59" i="2" s="1"/>
  <c r="D60" i="2"/>
  <c r="E60" i="2" s="1"/>
  <c r="D61" i="2"/>
  <c r="E61" i="2" s="1"/>
  <c r="D62" i="2"/>
  <c r="E62" i="2" s="1"/>
  <c r="E15" i="5"/>
  <c r="F15" i="5" s="1"/>
  <c r="H15" i="5"/>
  <c r="I15" i="5" s="1"/>
  <c r="J71" i="2"/>
  <c r="L71" i="2" s="1"/>
  <c r="J70" i="2"/>
  <c r="J62" i="2"/>
  <c r="K62" i="2" s="1"/>
  <c r="U14" i="6"/>
  <c r="U13" i="6"/>
  <c r="U23" i="6"/>
  <c r="U31" i="6"/>
  <c r="G27" i="6"/>
  <c r="I27" i="6"/>
  <c r="U27" i="6" s="1"/>
  <c r="G35" i="6"/>
  <c r="I35" i="6"/>
  <c r="U35" i="6" s="1"/>
  <c r="I20" i="6"/>
  <c r="U22" i="6"/>
  <c r="K59" i="10"/>
  <c r="N59" i="10"/>
  <c r="O59" i="10" s="1"/>
  <c r="M59" i="10"/>
  <c r="N60" i="10"/>
  <c r="O60" i="10" s="1"/>
  <c r="M60" i="10"/>
  <c r="K61" i="10"/>
  <c r="N61" i="10"/>
  <c r="O61" i="10" s="1"/>
  <c r="M61" i="10"/>
  <c r="K62" i="10"/>
  <c r="N62" i="10"/>
  <c r="O62" i="10" s="1"/>
  <c r="M62" i="10"/>
  <c r="K63" i="10"/>
  <c r="N63" i="10"/>
  <c r="O63" i="10" s="1"/>
  <c r="M63" i="10"/>
  <c r="K64" i="10"/>
  <c r="N64" i="10"/>
  <c r="O64" i="10" s="1"/>
  <c r="M64" i="10"/>
  <c r="K66" i="10"/>
  <c r="N66" i="10"/>
  <c r="O66" i="10" s="1"/>
  <c r="M66" i="10"/>
  <c r="K67" i="10"/>
  <c r="N67" i="10"/>
  <c r="O67" i="10" s="1"/>
  <c r="M67" i="10"/>
  <c r="K68" i="10"/>
  <c r="N68" i="10"/>
  <c r="O68" i="10" s="1"/>
  <c r="M68" i="10"/>
  <c r="K70" i="10"/>
  <c r="N70" i="10"/>
  <c r="O70" i="10" s="1"/>
  <c r="M70" i="10"/>
  <c r="K71" i="10"/>
  <c r="N71" i="10"/>
  <c r="O71" i="10" s="1"/>
  <c r="M71" i="10"/>
  <c r="K72" i="10"/>
  <c r="N72" i="10"/>
  <c r="O72" i="10" s="1"/>
  <c r="M72" i="10"/>
  <c r="K74" i="10"/>
  <c r="N74" i="10"/>
  <c r="O74" i="10" s="1"/>
  <c r="M74" i="10"/>
  <c r="K75" i="10"/>
  <c r="N75" i="10"/>
  <c r="O75" i="10" s="1"/>
  <c r="M75" i="10"/>
  <c r="K76" i="10"/>
  <c r="N76" i="10"/>
  <c r="O76" i="10" s="1"/>
  <c r="M76" i="10"/>
  <c r="K77" i="10"/>
  <c r="N77" i="10"/>
  <c r="O77" i="10" s="1"/>
  <c r="M77" i="10"/>
  <c r="K78" i="10"/>
  <c r="N78" i="10"/>
  <c r="O78" i="10" s="1"/>
  <c r="M78" i="10"/>
  <c r="K80" i="10"/>
  <c r="N80" i="10"/>
  <c r="O80" i="10" s="1"/>
  <c r="M80" i="10"/>
  <c r="K81" i="10"/>
  <c r="N81" i="10"/>
  <c r="O81" i="10" s="1"/>
  <c r="M81" i="10"/>
  <c r="K82" i="10"/>
  <c r="O82" i="10"/>
  <c r="M82" i="10"/>
  <c r="M16" i="10"/>
  <c r="O16" i="10" s="1"/>
  <c r="M26" i="10"/>
  <c r="O26" i="10" s="1"/>
  <c r="P26" i="10" s="1"/>
  <c r="T26" i="10" s="1"/>
  <c r="M27" i="10"/>
  <c r="O27" i="10" s="1"/>
  <c r="M17" i="10"/>
  <c r="O17" i="10" s="1"/>
  <c r="P17" i="10" s="1"/>
  <c r="T17" i="10" s="1"/>
  <c r="M33" i="10"/>
  <c r="O33" i="10" s="1"/>
  <c r="P33" i="10" s="1"/>
  <c r="T33" i="10" s="1"/>
  <c r="M36" i="10"/>
  <c r="O36" i="10" s="1"/>
  <c r="P36" i="10" s="1"/>
  <c r="T36" i="10" s="1"/>
  <c r="M22" i="10"/>
  <c r="O22" i="10" s="1"/>
  <c r="P22" i="10" s="1"/>
  <c r="T22" i="10" s="1"/>
  <c r="M21" i="10"/>
  <c r="O21" i="10" s="1"/>
  <c r="I32" i="10"/>
  <c r="G32" i="10"/>
  <c r="M29" i="10"/>
  <c r="O29" i="10" s="1"/>
  <c r="P29" i="10" s="1"/>
  <c r="T29" i="10" s="1"/>
  <c r="M18" i="10"/>
  <c r="O18" i="10" s="1"/>
  <c r="P18" i="10" s="1"/>
  <c r="T18" i="10" s="1"/>
  <c r="J20" i="10"/>
  <c r="K20" i="10" s="1"/>
  <c r="L20" i="10" s="1"/>
  <c r="N20" i="10" s="1"/>
  <c r="G22" i="10"/>
  <c r="I13" i="10"/>
  <c r="M13" i="10" s="1"/>
  <c r="J23" i="10"/>
  <c r="K23" i="10" s="1"/>
  <c r="L23" i="10" s="1"/>
  <c r="N23" i="10" s="1"/>
  <c r="G20" i="10"/>
  <c r="J12" i="10"/>
  <c r="K12" i="10" s="1"/>
  <c r="L12" i="10" s="1"/>
  <c r="O31" i="10"/>
  <c r="P31" i="10" s="1"/>
  <c r="T31" i="10" s="1"/>
  <c r="U31" i="10"/>
  <c r="O34" i="10"/>
  <c r="P34" i="10" s="1"/>
  <c r="T34" i="10" s="1"/>
  <c r="U34" i="10"/>
  <c r="O23" i="10"/>
  <c r="U23" i="10"/>
  <c r="I15" i="10"/>
  <c r="M15" i="10" s="1"/>
  <c r="I30" i="10"/>
  <c r="U27" i="10"/>
  <c r="J27" i="10"/>
  <c r="K27" i="10" s="1"/>
  <c r="L27" i="10" s="1"/>
  <c r="N27" i="10" s="1"/>
  <c r="J30" i="10"/>
  <c r="K30" i="10" s="1"/>
  <c r="L30" i="10" s="1"/>
  <c r="N30" i="10" s="1"/>
  <c r="G28" i="10"/>
  <c r="G19" i="10"/>
  <c r="G21" i="10"/>
  <c r="J16" i="10"/>
  <c r="K16" i="10" s="1"/>
  <c r="L16" i="10" s="1"/>
  <c r="N16" i="10" s="1"/>
  <c r="J24" i="10"/>
  <c r="K24" i="10" s="1"/>
  <c r="L24" i="10" s="1"/>
  <c r="N24" i="10" s="1"/>
  <c r="I24" i="10"/>
  <c r="M24" i="10" s="1"/>
  <c r="G15" i="10"/>
  <c r="G16" i="10"/>
  <c r="I25" i="10"/>
  <c r="M25" i="10" s="1"/>
  <c r="I28" i="10"/>
  <c r="M28" i="10" s="1"/>
  <c r="G25" i="10"/>
  <c r="I35" i="10"/>
  <c r="M35" i="10" s="1"/>
  <c r="I19" i="10"/>
  <c r="J21" i="10"/>
  <c r="K21" i="10" s="1"/>
  <c r="L21" i="10" s="1"/>
  <c r="N21" i="10" s="1"/>
  <c r="P21" i="10" s="1"/>
  <c r="T21" i="10" s="1"/>
  <c r="G23" i="10"/>
  <c r="G31" i="10"/>
  <c r="U33" i="10"/>
  <c r="U36" i="10"/>
  <c r="U16" i="10"/>
  <c r="U29" i="10"/>
  <c r="U26" i="10"/>
  <c r="U14" i="10"/>
  <c r="O14" i="10"/>
  <c r="P14" i="10" s="1"/>
  <c r="T14" i="10" s="1"/>
  <c r="U18" i="10"/>
  <c r="U22" i="10"/>
  <c r="U21" i="10"/>
  <c r="U20" i="10"/>
  <c r="O20" i="10"/>
  <c r="U17" i="10"/>
  <c r="I15" i="6"/>
  <c r="U15" i="6" s="1"/>
  <c r="I26" i="6"/>
  <c r="I18" i="6"/>
  <c r="U18" i="6" s="1"/>
  <c r="I29" i="6"/>
  <c r="U29" i="6" s="1"/>
  <c r="I12" i="6"/>
  <c r="U12" i="6" s="1"/>
  <c r="I30" i="6"/>
  <c r="U30" i="6" s="1"/>
  <c r="J12" i="6"/>
  <c r="K12" i="6" s="1"/>
  <c r="L12" i="6" s="1"/>
  <c r="N12" i="6" s="1"/>
  <c r="J15" i="6"/>
  <c r="K15" i="6" s="1"/>
  <c r="L15" i="6" s="1"/>
  <c r="N15" i="6" s="1"/>
  <c r="J23" i="6"/>
  <c r="K23" i="6" s="1"/>
  <c r="L23" i="6" s="1"/>
  <c r="N23" i="6" s="1"/>
  <c r="P23" i="6" s="1"/>
  <c r="T23" i="6" s="1"/>
  <c r="J31" i="6"/>
  <c r="K31" i="6" s="1"/>
  <c r="L31" i="6" s="1"/>
  <c r="N31" i="6" s="1"/>
  <c r="P31" i="6" s="1"/>
  <c r="T31" i="6" s="1"/>
  <c r="J16" i="6"/>
  <c r="K16" i="6" s="1"/>
  <c r="L16" i="6" s="1"/>
  <c r="N16" i="6" s="1"/>
  <c r="J24" i="6"/>
  <c r="K24" i="6" s="1"/>
  <c r="L24" i="6" s="1"/>
  <c r="N24" i="6" s="1"/>
  <c r="P24" i="6" s="1"/>
  <c r="T24" i="6" s="1"/>
  <c r="J32" i="6"/>
  <c r="K32" i="6" s="1"/>
  <c r="L32" i="6" s="1"/>
  <c r="N32" i="6" s="1"/>
  <c r="P32" i="6" s="1"/>
  <c r="T32" i="6" s="1"/>
  <c r="J17" i="6"/>
  <c r="K17" i="6" s="1"/>
  <c r="L17" i="6" s="1"/>
  <c r="N17" i="6" s="1"/>
  <c r="P17" i="6" s="1"/>
  <c r="T17" i="6" s="1"/>
  <c r="V17" i="6" s="1"/>
  <c r="W17" i="6" s="1"/>
  <c r="J25" i="6"/>
  <c r="K25" i="6" s="1"/>
  <c r="L25" i="6" s="1"/>
  <c r="N25" i="6" s="1"/>
  <c r="P25" i="6" s="1"/>
  <c r="T25" i="6" s="1"/>
  <c r="V25" i="6" s="1"/>
  <c r="W25" i="6" s="1"/>
  <c r="J33" i="6"/>
  <c r="K33" i="6" s="1"/>
  <c r="L33" i="6" s="1"/>
  <c r="N33" i="6" s="1"/>
  <c r="P33" i="6" s="1"/>
  <c r="T33" i="6" s="1"/>
  <c r="J18" i="6"/>
  <c r="K18" i="6" s="1"/>
  <c r="L18" i="6" s="1"/>
  <c r="N18" i="6" s="1"/>
  <c r="J26" i="6"/>
  <c r="K26" i="6" s="1"/>
  <c r="L26" i="6" s="1"/>
  <c r="N26" i="6" s="1"/>
  <c r="J34" i="6"/>
  <c r="K34" i="6" s="1"/>
  <c r="L34" i="6" s="1"/>
  <c r="N34" i="6" s="1"/>
  <c r="J27" i="6"/>
  <c r="K27" i="6" s="1"/>
  <c r="L27" i="6" s="1"/>
  <c r="N27" i="6" s="1"/>
  <c r="J36" i="6"/>
  <c r="K36" i="6" s="1"/>
  <c r="L36" i="6" s="1"/>
  <c r="N36" i="6" s="1"/>
  <c r="J13" i="6"/>
  <c r="K13" i="6" s="1"/>
  <c r="L13" i="6" s="1"/>
  <c r="N13" i="6" s="1"/>
  <c r="P13" i="6" s="1"/>
  <c r="T13" i="6" s="1"/>
  <c r="J21" i="6"/>
  <c r="K21" i="6" s="1"/>
  <c r="L21" i="6" s="1"/>
  <c r="N21" i="6" s="1"/>
  <c r="J29" i="6"/>
  <c r="K29" i="6" s="1"/>
  <c r="L29" i="6" s="1"/>
  <c r="N29" i="6" s="1"/>
  <c r="J35" i="6"/>
  <c r="K35" i="6" s="1"/>
  <c r="L35" i="6" s="1"/>
  <c r="N35" i="6" s="1"/>
  <c r="J28" i="6"/>
  <c r="K28" i="6" s="1"/>
  <c r="L28" i="6" s="1"/>
  <c r="N28" i="6" s="1"/>
  <c r="J14" i="6"/>
  <c r="K14" i="6" s="1"/>
  <c r="L14" i="6" s="1"/>
  <c r="N14" i="6" s="1"/>
  <c r="J22" i="6"/>
  <c r="K22" i="6" s="1"/>
  <c r="L22" i="6" s="1"/>
  <c r="N22" i="6" s="1"/>
  <c r="J30" i="6"/>
  <c r="K30" i="6" s="1"/>
  <c r="L30" i="6" s="1"/>
  <c r="N30" i="6" s="1"/>
  <c r="J19" i="6"/>
  <c r="K19" i="6" s="1"/>
  <c r="L19" i="6" s="1"/>
  <c r="N19" i="6" s="1"/>
  <c r="J20" i="6"/>
  <c r="K20" i="6" s="1"/>
  <c r="L20" i="6" s="1"/>
  <c r="N20" i="6" s="1"/>
  <c r="I19" i="6"/>
  <c r="U19" i="6" s="1"/>
  <c r="I34" i="6"/>
  <c r="U34" i="6" s="1"/>
  <c r="I28" i="6"/>
  <c r="U28" i="6" s="1"/>
  <c r="M16" i="6"/>
  <c r="O16" i="6" s="1"/>
  <c r="M35" i="6"/>
  <c r="O35" i="6" s="1"/>
  <c r="M14" i="6"/>
  <c r="O14" i="6" s="1"/>
  <c r="I36" i="6"/>
  <c r="U36" i="6" s="1"/>
  <c r="M22" i="6"/>
  <c r="O22" i="6" s="1"/>
  <c r="M15" i="6"/>
  <c r="O15" i="6" s="1"/>
  <c r="D63" i="2"/>
  <c r="E63" i="2" s="1"/>
  <c r="D65" i="2"/>
  <c r="E65" i="2" s="1"/>
  <c r="I14" i="5"/>
  <c r="J69" i="2"/>
  <c r="K69" i="2" s="1"/>
  <c r="J68" i="2"/>
  <c r="D55" i="2"/>
  <c r="E55" i="2" s="1"/>
  <c r="D57" i="2"/>
  <c r="E57" i="2" s="1"/>
  <c r="I24" i="5"/>
  <c r="I6" i="4"/>
  <c r="L6" i="4" s="1"/>
  <c r="D64" i="2"/>
  <c r="E64" i="2" s="1"/>
  <c r="I8" i="4"/>
  <c r="L8" i="4" s="1"/>
  <c r="I15" i="4"/>
  <c r="L15" i="4" s="1"/>
  <c r="I7" i="4"/>
  <c r="L7" i="4" s="1"/>
  <c r="I5" i="4"/>
  <c r="L5" i="4" s="1"/>
  <c r="I13" i="4"/>
  <c r="L13" i="4" s="1"/>
  <c r="I20" i="4"/>
  <c r="L20" i="4" s="1"/>
  <c r="I12" i="4"/>
  <c r="L12" i="4" s="1"/>
  <c r="I19" i="4"/>
  <c r="L19" i="4" s="1"/>
  <c r="J13" i="5"/>
  <c r="K66" i="2"/>
  <c r="M66" i="2" s="1"/>
  <c r="J63" i="2"/>
  <c r="K63" i="2" s="1"/>
  <c r="K68" i="2"/>
  <c r="L68" i="2"/>
  <c r="L70" i="2"/>
  <c r="K70" i="2"/>
  <c r="L72" i="2"/>
  <c r="M72" i="2" s="1"/>
  <c r="L65" i="2"/>
  <c r="K65" i="2"/>
  <c r="L64" i="2"/>
  <c r="K64" i="2"/>
  <c r="J61" i="2"/>
  <c r="K61" i="2" s="1"/>
  <c r="L62" i="2"/>
  <c r="M62" i="2" s="1"/>
  <c r="E21" i="5"/>
  <c r="F21" i="5" s="1"/>
  <c r="G21" i="5" s="1"/>
  <c r="I21" i="5"/>
  <c r="E17" i="5"/>
  <c r="F17" i="5" s="1"/>
  <c r="G17" i="5" s="1"/>
  <c r="I17" i="5"/>
  <c r="I30" i="5"/>
  <c r="I22" i="5"/>
  <c r="I13" i="5"/>
  <c r="I28" i="5"/>
  <c r="I12" i="5"/>
  <c r="I19" i="5"/>
  <c r="I11" i="5"/>
  <c r="I9" i="5"/>
  <c r="I26" i="5"/>
  <c r="G32" i="5"/>
  <c r="G24" i="5"/>
  <c r="G16" i="5"/>
  <c r="I32" i="5"/>
  <c r="I16" i="5"/>
  <c r="J12" i="5"/>
  <c r="J27" i="5"/>
  <c r="J19" i="5"/>
  <c r="J11" i="5"/>
  <c r="J28" i="5"/>
  <c r="J26" i="5"/>
  <c r="J18" i="5"/>
  <c r="J10" i="5"/>
  <c r="J20" i="5"/>
  <c r="J33" i="5"/>
  <c r="J25" i="5"/>
  <c r="J17" i="5"/>
  <c r="J32" i="5"/>
  <c r="J16" i="5"/>
  <c r="J24" i="5"/>
  <c r="J31" i="5"/>
  <c r="J23" i="5"/>
  <c r="J15" i="5"/>
  <c r="J30" i="5"/>
  <c r="J22" i="5"/>
  <c r="J14" i="5"/>
  <c r="G15" i="5"/>
  <c r="J29" i="5"/>
  <c r="J21" i="5"/>
  <c r="G29" i="5"/>
  <c r="G13" i="5"/>
  <c r="G28" i="5"/>
  <c r="G27" i="5"/>
  <c r="G19" i="5"/>
  <c r="G11" i="5"/>
  <c r="G26" i="5"/>
  <c r="G18" i="5"/>
  <c r="G10" i="5"/>
  <c r="G20" i="5"/>
  <c r="G33" i="5"/>
  <c r="B31" i="3"/>
  <c r="W39" i="15" l="1"/>
  <c r="W40" i="15" s="1"/>
  <c r="W41" i="15" s="1"/>
  <c r="W45" i="15" s="1"/>
  <c r="Q76" i="10"/>
  <c r="Q66" i="10"/>
  <c r="Q82" i="10"/>
  <c r="Q72" i="10"/>
  <c r="Q62" i="10"/>
  <c r="Q59" i="10"/>
  <c r="Q80" i="10"/>
  <c r="Q78" i="10"/>
  <c r="Q68" i="10"/>
  <c r="Q60" i="10"/>
  <c r="Q75" i="10"/>
  <c r="Q64" i="10"/>
  <c r="Q81" i="10"/>
  <c r="Q71" i="10"/>
  <c r="Q61" i="10"/>
  <c r="Q70" i="10"/>
  <c r="Q77" i="10"/>
  <c r="Q67" i="10"/>
  <c r="Q74" i="10"/>
  <c r="Q63" i="10"/>
  <c r="X66" i="10"/>
  <c r="R28" i="13"/>
  <c r="V28" i="13" s="1"/>
  <c r="W28" i="13" s="1"/>
  <c r="X28" i="13" s="1"/>
  <c r="Y28" i="13" s="1"/>
  <c r="Q28" i="13"/>
  <c r="S28" i="13" s="1"/>
  <c r="T28" i="13" s="1"/>
  <c r="Z28" i="13" s="1"/>
  <c r="AA19" i="13"/>
  <c r="AB19" i="13" s="1"/>
  <c r="R20" i="13"/>
  <c r="V20" i="13" s="1"/>
  <c r="W20" i="13" s="1"/>
  <c r="X20" i="13" s="1"/>
  <c r="Y20" i="13" s="1"/>
  <c r="Q20" i="13"/>
  <c r="S20" i="13" s="1"/>
  <c r="T20" i="13" s="1"/>
  <c r="Z20" i="13" s="1"/>
  <c r="AC14" i="13"/>
  <c r="AE14" i="13" s="1"/>
  <c r="AF14" i="13" s="1"/>
  <c r="R14" i="13"/>
  <c r="Q14" i="13"/>
  <c r="X82" i="10"/>
  <c r="AC36" i="13"/>
  <c r="AE36" i="13" s="1"/>
  <c r="AF36" i="13" s="1"/>
  <c r="R22" i="13"/>
  <c r="V22" i="13" s="1"/>
  <c r="W22" i="13" s="1"/>
  <c r="X22" i="13" s="1"/>
  <c r="Y22" i="13" s="1"/>
  <c r="Q22" i="13"/>
  <c r="S22" i="13" s="1"/>
  <c r="T22" i="13" s="1"/>
  <c r="Z22" i="13" s="1"/>
  <c r="AA22" i="13" s="1"/>
  <c r="AB22" i="13" s="1"/>
  <c r="V33" i="6"/>
  <c r="W33" i="6" s="1"/>
  <c r="Q13" i="13"/>
  <c r="S13" i="13" s="1"/>
  <c r="T13" i="13" s="1"/>
  <c r="Z13" i="13" s="1"/>
  <c r="R13" i="13"/>
  <c r="V13" i="13" s="1"/>
  <c r="W13" i="13" s="1"/>
  <c r="X13" i="13" s="1"/>
  <c r="Y13" i="13" s="1"/>
  <c r="AA13" i="13" s="1"/>
  <c r="AB13" i="13" s="1"/>
  <c r="AD13" i="13" s="1"/>
  <c r="R32" i="13"/>
  <c r="V32" i="13" s="1"/>
  <c r="W32" i="13" s="1"/>
  <c r="X32" i="13" s="1"/>
  <c r="Y32" i="13" s="1"/>
  <c r="AA32" i="13" s="1"/>
  <c r="AB32" i="13" s="1"/>
  <c r="Q32" i="13"/>
  <c r="S32" i="13" s="1"/>
  <c r="T32" i="13" s="1"/>
  <c r="Z32" i="13" s="1"/>
  <c r="Q15" i="13"/>
  <c r="S15" i="13" s="1"/>
  <c r="T15" i="13" s="1"/>
  <c r="Z15" i="13" s="1"/>
  <c r="R15" i="13"/>
  <c r="V15" i="13" s="1"/>
  <c r="W15" i="13" s="1"/>
  <c r="X15" i="13" s="1"/>
  <c r="Y15" i="13" s="1"/>
  <c r="AA33" i="13"/>
  <c r="AB33" i="13" s="1"/>
  <c r="O26" i="13"/>
  <c r="P26" i="13" s="1"/>
  <c r="R21" i="5"/>
  <c r="S14" i="13"/>
  <c r="T14" i="13" s="1"/>
  <c r="Z14" i="13" s="1"/>
  <c r="S31" i="13"/>
  <c r="T31" i="13" s="1"/>
  <c r="Z31" i="13" s="1"/>
  <c r="AD29" i="13"/>
  <c r="AC29" i="13"/>
  <c r="AE29" i="13" s="1"/>
  <c r="R27" i="13"/>
  <c r="V27" i="13" s="1"/>
  <c r="W27" i="13" s="1"/>
  <c r="X27" i="13" s="1"/>
  <c r="Y27" i="13" s="1"/>
  <c r="Q27" i="13"/>
  <c r="S27" i="13" s="1"/>
  <c r="T27" i="13" s="1"/>
  <c r="Z27" i="13" s="1"/>
  <c r="AA27" i="13" s="1"/>
  <c r="AB27" i="13" s="1"/>
  <c r="Q23" i="13"/>
  <c r="S23" i="13" s="1"/>
  <c r="T23" i="13" s="1"/>
  <c r="Z23" i="13" s="1"/>
  <c r="R23" i="13"/>
  <c r="V23" i="13" s="1"/>
  <c r="W23" i="13" s="1"/>
  <c r="X23" i="13" s="1"/>
  <c r="Y23" i="13" s="1"/>
  <c r="V13" i="6"/>
  <c r="W13" i="6" s="1"/>
  <c r="Q31" i="13"/>
  <c r="R31" i="13"/>
  <c r="V31" i="13" s="1"/>
  <c r="W31" i="13" s="1"/>
  <c r="X31" i="13" s="1"/>
  <c r="Y31" i="13" s="1"/>
  <c r="AA31" i="13" s="1"/>
  <c r="AB31" i="13" s="1"/>
  <c r="AD21" i="13"/>
  <c r="AC21" i="13"/>
  <c r="AE21" i="13" s="1"/>
  <c r="V14" i="13"/>
  <c r="W14" i="13" s="1"/>
  <c r="X14" i="13" s="1"/>
  <c r="Y14" i="13" s="1"/>
  <c r="AA14" i="13" s="1"/>
  <c r="AB14" i="13" s="1"/>
  <c r="AD14" i="13" s="1"/>
  <c r="AD25" i="13"/>
  <c r="AC25" i="13"/>
  <c r="AD34" i="13"/>
  <c r="AC34" i="13"/>
  <c r="AE34" i="13" s="1"/>
  <c r="AF34" i="13" s="1"/>
  <c r="AD30" i="13"/>
  <c r="AC30" i="13"/>
  <c r="AE30" i="13" s="1"/>
  <c r="AF30" i="13" s="1"/>
  <c r="P35" i="13"/>
  <c r="AC12" i="13"/>
  <c r="AE12" i="13" s="1"/>
  <c r="AF12" i="13" s="1"/>
  <c r="AA17" i="13"/>
  <c r="AB17" i="13" s="1"/>
  <c r="AD18" i="13"/>
  <c r="AC18" i="13"/>
  <c r="AE18" i="13" s="1"/>
  <c r="R24" i="13"/>
  <c r="V24" i="13" s="1"/>
  <c r="W24" i="13" s="1"/>
  <c r="X24" i="13" s="1"/>
  <c r="Y24" i="13" s="1"/>
  <c r="Q24" i="13"/>
  <c r="S24" i="13" s="1"/>
  <c r="T24" i="13" s="1"/>
  <c r="Z24" i="13" s="1"/>
  <c r="AC16" i="13"/>
  <c r="AE16" i="13" s="1"/>
  <c r="AF16" i="13" s="1"/>
  <c r="X81" i="10"/>
  <c r="X63" i="10"/>
  <c r="X60" i="10"/>
  <c r="X67" i="10"/>
  <c r="X77" i="10"/>
  <c r="Q65" i="10"/>
  <c r="X65" i="10"/>
  <c r="X78" i="10"/>
  <c r="N65" i="10"/>
  <c r="O65" i="10" s="1"/>
  <c r="P65" i="10" s="1"/>
  <c r="R65" i="10" s="1"/>
  <c r="X59" i="10"/>
  <c r="X74" i="10"/>
  <c r="X72" i="10"/>
  <c r="X76" i="10"/>
  <c r="X80" i="10"/>
  <c r="K65" i="10"/>
  <c r="X68" i="10"/>
  <c r="X71" i="10"/>
  <c r="X61" i="10"/>
  <c r="X70" i="10"/>
  <c r="X64" i="10"/>
  <c r="X62" i="10"/>
  <c r="X75" i="10"/>
  <c r="M69" i="10"/>
  <c r="N69" i="10"/>
  <c r="O69" i="10" s="1"/>
  <c r="P69" i="10" s="1"/>
  <c r="R69" i="10" s="1"/>
  <c r="N12" i="10"/>
  <c r="AG86" i="13"/>
  <c r="AG87" i="13" s="1"/>
  <c r="AG88" i="13" s="1"/>
  <c r="AF29" i="13"/>
  <c r="AF21" i="13"/>
  <c r="AF18" i="13"/>
  <c r="M12" i="10"/>
  <c r="P20" i="10"/>
  <c r="T20" i="10" s="1"/>
  <c r="P59" i="10"/>
  <c r="R59" i="10" s="1"/>
  <c r="P82" i="10"/>
  <c r="R82" i="10" s="1"/>
  <c r="W82" i="10" s="1"/>
  <c r="P72" i="10"/>
  <c r="R72" i="10" s="1"/>
  <c r="P64" i="10"/>
  <c r="R64" i="10" s="1"/>
  <c r="P78" i="10"/>
  <c r="R78" i="10" s="1"/>
  <c r="P61" i="10"/>
  <c r="R61" i="10" s="1"/>
  <c r="P67" i="10"/>
  <c r="R67" i="10" s="1"/>
  <c r="P75" i="10"/>
  <c r="R75" i="10" s="1"/>
  <c r="P66" i="10"/>
  <c r="R66" i="10" s="1"/>
  <c r="P81" i="10"/>
  <c r="R81" i="10" s="1"/>
  <c r="P71" i="10"/>
  <c r="R71" i="10" s="1"/>
  <c r="P63" i="10"/>
  <c r="R63" i="10" s="1"/>
  <c r="P77" i="10"/>
  <c r="R77" i="10" s="1"/>
  <c r="P68" i="10"/>
  <c r="R68" i="10" s="1"/>
  <c r="P60" i="10"/>
  <c r="R60" i="10" s="1"/>
  <c r="P76" i="10"/>
  <c r="R76" i="10" s="1"/>
  <c r="P74" i="10"/>
  <c r="R74" i="10" s="1"/>
  <c r="P80" i="10"/>
  <c r="R80" i="10" s="1"/>
  <c r="P70" i="10"/>
  <c r="R70" i="10" s="1"/>
  <c r="P62" i="10"/>
  <c r="R62" i="10" s="1"/>
  <c r="P58" i="10"/>
  <c r="R58" i="10" s="1"/>
  <c r="T58" i="10" s="1"/>
  <c r="W58" i="10" s="1"/>
  <c r="Y58" i="10" s="1"/>
  <c r="Z58" i="10" s="1"/>
  <c r="L69" i="2"/>
  <c r="M69" i="2" s="1"/>
  <c r="R28" i="5"/>
  <c r="L67" i="2"/>
  <c r="M67" i="2" s="1"/>
  <c r="M18" i="6"/>
  <c r="O18" i="6" s="1"/>
  <c r="M29" i="6"/>
  <c r="O29" i="6" s="1"/>
  <c r="P29" i="6" s="1"/>
  <c r="M79" i="10"/>
  <c r="M27" i="6"/>
  <c r="O27" i="6" s="1"/>
  <c r="P27" i="6" s="1"/>
  <c r="N79" i="10"/>
  <c r="O79" i="10" s="1"/>
  <c r="U21" i="6"/>
  <c r="R18" i="5"/>
  <c r="M73" i="10"/>
  <c r="R20" i="5"/>
  <c r="K71" i="2"/>
  <c r="M71" i="2" s="1"/>
  <c r="N73" i="10"/>
  <c r="O73" i="10" s="1"/>
  <c r="R16" i="5"/>
  <c r="P21" i="6"/>
  <c r="T21" i="6" s="1"/>
  <c r="R31" i="5"/>
  <c r="R10" i="5"/>
  <c r="V32" i="6"/>
  <c r="W32" i="6" s="1"/>
  <c r="T14" i="4"/>
  <c r="M26" i="6"/>
  <c r="O26" i="6" s="1"/>
  <c r="P26" i="6" s="1"/>
  <c r="T26" i="6" s="1"/>
  <c r="V26" i="6" s="1"/>
  <c r="W26" i="6" s="1"/>
  <c r="U26" i="6"/>
  <c r="V21" i="10"/>
  <c r="M20" i="6"/>
  <c r="O20" i="6" s="1"/>
  <c r="P20" i="6" s="1"/>
  <c r="T20" i="6" s="1"/>
  <c r="U20" i="6"/>
  <c r="V20" i="6" s="1"/>
  <c r="W20" i="6" s="1"/>
  <c r="O9" i="5"/>
  <c r="N9" i="5"/>
  <c r="O33" i="5"/>
  <c r="N33" i="5"/>
  <c r="O32" i="5"/>
  <c r="N32" i="5"/>
  <c r="O31" i="5"/>
  <c r="N31" i="5"/>
  <c r="P31" i="5" s="1"/>
  <c r="Q31" i="5" s="1"/>
  <c r="O30" i="5"/>
  <c r="N30" i="5"/>
  <c r="O29" i="5"/>
  <c r="N29" i="5"/>
  <c r="O28" i="5"/>
  <c r="N28" i="5"/>
  <c r="O27" i="5"/>
  <c r="N27" i="5"/>
  <c r="P27" i="5" s="1"/>
  <c r="Q27" i="5" s="1"/>
  <c r="O26" i="5"/>
  <c r="N26" i="5"/>
  <c r="O25" i="5"/>
  <c r="N25" i="5"/>
  <c r="P25" i="5" s="1"/>
  <c r="Q25" i="5" s="1"/>
  <c r="O24" i="5"/>
  <c r="N24" i="5"/>
  <c r="O23" i="5"/>
  <c r="N23" i="5"/>
  <c r="O22" i="5"/>
  <c r="N22" i="5"/>
  <c r="O21" i="5"/>
  <c r="N21" i="5"/>
  <c r="O20" i="5"/>
  <c r="N20" i="5"/>
  <c r="O19" i="5"/>
  <c r="N19" i="5"/>
  <c r="P19" i="5" s="1"/>
  <c r="Q19" i="5" s="1"/>
  <c r="O18" i="5"/>
  <c r="N18" i="5"/>
  <c r="O17" i="5"/>
  <c r="N17" i="5"/>
  <c r="P17" i="5" s="1"/>
  <c r="Q17" i="5" s="1"/>
  <c r="O16" i="5"/>
  <c r="N16" i="5"/>
  <c r="O15" i="5"/>
  <c r="N15" i="5"/>
  <c r="O14" i="5"/>
  <c r="N14" i="5"/>
  <c r="O13" i="5"/>
  <c r="N13" i="5"/>
  <c r="O12" i="5"/>
  <c r="N12" i="5"/>
  <c r="O11" i="5"/>
  <c r="N11" i="5"/>
  <c r="P11" i="5" s="1"/>
  <c r="Q11" i="5" s="1"/>
  <c r="O10" i="5"/>
  <c r="N10" i="5"/>
  <c r="U19" i="10"/>
  <c r="M19" i="10"/>
  <c r="O19" i="10" s="1"/>
  <c r="P19" i="10" s="1"/>
  <c r="T19" i="10" s="1"/>
  <c r="V19" i="10" s="1"/>
  <c r="M30" i="10"/>
  <c r="O30" i="10" s="1"/>
  <c r="P30" i="10" s="1"/>
  <c r="T30" i="10" s="1"/>
  <c r="P16" i="10"/>
  <c r="T16" i="10" s="1"/>
  <c r="M32" i="10"/>
  <c r="O32" i="10" s="1"/>
  <c r="P32" i="10" s="1"/>
  <c r="T32" i="10" s="1"/>
  <c r="U32" i="10"/>
  <c r="P27" i="10"/>
  <c r="T27" i="10" s="1"/>
  <c r="V27" i="10" s="1"/>
  <c r="P23" i="10"/>
  <c r="T23" i="10" s="1"/>
  <c r="V23" i="10" s="1"/>
  <c r="V31" i="10"/>
  <c r="V34" i="10"/>
  <c r="V16" i="10"/>
  <c r="U30" i="10"/>
  <c r="O13" i="10"/>
  <c r="P13" i="10" s="1"/>
  <c r="T13" i="10" s="1"/>
  <c r="U13" i="10"/>
  <c r="V26" i="10"/>
  <c r="O35" i="10"/>
  <c r="P35" i="10" s="1"/>
  <c r="T35" i="10" s="1"/>
  <c r="U35" i="10"/>
  <c r="O15" i="10"/>
  <c r="P15" i="10" s="1"/>
  <c r="T15" i="10" s="1"/>
  <c r="U15" i="10"/>
  <c r="V22" i="10"/>
  <c r="V36" i="10"/>
  <c r="O24" i="10"/>
  <c r="P24" i="10" s="1"/>
  <c r="T24" i="10" s="1"/>
  <c r="U24" i="10"/>
  <c r="O28" i="10"/>
  <c r="P28" i="10" s="1"/>
  <c r="T28" i="10" s="1"/>
  <c r="U28" i="10"/>
  <c r="V17" i="10"/>
  <c r="V14" i="10"/>
  <c r="O25" i="10"/>
  <c r="P25" i="10" s="1"/>
  <c r="T25" i="10" s="1"/>
  <c r="U25" i="10"/>
  <c r="V20" i="10"/>
  <c r="V29" i="10"/>
  <c r="V33" i="10"/>
  <c r="V18" i="10"/>
  <c r="M12" i="6"/>
  <c r="O12" i="6" s="1"/>
  <c r="P12" i="6" s="1"/>
  <c r="T12" i="6" s="1"/>
  <c r="V12" i="6" s="1"/>
  <c r="W12" i="6" s="1"/>
  <c r="P18" i="6"/>
  <c r="M28" i="6"/>
  <c r="O28" i="6" s="1"/>
  <c r="M34" i="6"/>
  <c r="O34" i="6" s="1"/>
  <c r="P34" i="6" s="1"/>
  <c r="M36" i="6"/>
  <c r="O36" i="6" s="1"/>
  <c r="P36" i="6" s="1"/>
  <c r="T36" i="6" s="1"/>
  <c r="P22" i="6"/>
  <c r="T22" i="6" s="1"/>
  <c r="V22" i="6" s="1"/>
  <c r="W22" i="6" s="1"/>
  <c r="P28" i="6"/>
  <c r="T28" i="6" s="1"/>
  <c r="V23" i="6"/>
  <c r="W23" i="6" s="1"/>
  <c r="V24" i="6"/>
  <c r="W24" i="6" s="1"/>
  <c r="P14" i="6"/>
  <c r="P16" i="6"/>
  <c r="P35" i="6"/>
  <c r="M19" i="6"/>
  <c r="O19" i="6" s="1"/>
  <c r="P19" i="6" s="1"/>
  <c r="P15" i="6"/>
  <c r="M30" i="6"/>
  <c r="O30" i="6" s="1"/>
  <c r="P30" i="6" s="1"/>
  <c r="T30" i="6" s="1"/>
  <c r="V31" i="6"/>
  <c r="W31" i="6" s="1"/>
  <c r="R27" i="5"/>
  <c r="R12" i="5"/>
  <c r="R13" i="5"/>
  <c r="R32" i="5"/>
  <c r="R30" i="5"/>
  <c r="R15" i="5"/>
  <c r="R26" i="5"/>
  <c r="R9" i="5"/>
  <c r="P21" i="5"/>
  <c r="Q21" i="5" s="1"/>
  <c r="R29" i="5"/>
  <c r="R24" i="5"/>
  <c r="P22" i="5"/>
  <c r="Q22" i="5" s="1"/>
  <c r="P30" i="5"/>
  <c r="Q30" i="5" s="1"/>
  <c r="R14" i="5"/>
  <c r="P16" i="5"/>
  <c r="Q16" i="5" s="1"/>
  <c r="P33" i="5"/>
  <c r="Q33" i="5" s="1"/>
  <c r="P10" i="5"/>
  <c r="Q10" i="5" s="1"/>
  <c r="P20" i="5"/>
  <c r="Q20" i="5" s="1"/>
  <c r="P13" i="5"/>
  <c r="Q13" i="5" s="1"/>
  <c r="R22" i="5"/>
  <c r="R17" i="5"/>
  <c r="P18" i="5"/>
  <c r="Q18" i="5" s="1"/>
  <c r="R25" i="5"/>
  <c r="P32" i="5"/>
  <c r="Q32" i="5" s="1"/>
  <c r="P26" i="5"/>
  <c r="Q26" i="5" s="1"/>
  <c r="R33" i="5"/>
  <c r="R11" i="5"/>
  <c r="R23" i="5"/>
  <c r="R19" i="5"/>
  <c r="T15" i="4"/>
  <c r="T16" i="4" s="1"/>
  <c r="T18" i="4" s="1"/>
  <c r="P14" i="5"/>
  <c r="Q14" i="5" s="1"/>
  <c r="P9" i="5"/>
  <c r="Q9" i="5" s="1"/>
  <c r="L63" i="2"/>
  <c r="M63" i="2" s="1"/>
  <c r="M68" i="2"/>
  <c r="M64" i="2"/>
  <c r="M70" i="2"/>
  <c r="M65" i="2"/>
  <c r="L61" i="2"/>
  <c r="M61" i="2" s="1"/>
  <c r="P29" i="5"/>
  <c r="Q29" i="5" s="1"/>
  <c r="P24" i="5"/>
  <c r="Q24" i="5" s="1"/>
  <c r="X79" i="10" l="1"/>
  <c r="S70" i="10"/>
  <c r="T70" i="10" s="1"/>
  <c r="W70" i="10" s="1"/>
  <c r="Y70" i="10" s="1"/>
  <c r="Z70" i="10" s="1"/>
  <c r="AC70" i="10"/>
  <c r="AD70" i="10" s="1"/>
  <c r="AE70" i="10" s="1"/>
  <c r="AF70" i="10" s="1"/>
  <c r="AG70" i="10" s="1"/>
  <c r="S61" i="10"/>
  <c r="T61" i="10" s="1"/>
  <c r="W61" i="10" s="1"/>
  <c r="Y61" i="10" s="1"/>
  <c r="Z61" i="10" s="1"/>
  <c r="AC61" i="10"/>
  <c r="AD61" i="10" s="1"/>
  <c r="AE61" i="10" s="1"/>
  <c r="AF61" i="10" s="1"/>
  <c r="AG61" i="10" s="1"/>
  <c r="S75" i="10"/>
  <c r="T75" i="10" s="1"/>
  <c r="W75" i="10" s="1"/>
  <c r="Y75" i="10" s="1"/>
  <c r="Z75" i="10" s="1"/>
  <c r="AC75" i="10"/>
  <c r="AD75" i="10" s="1"/>
  <c r="AE75" i="10" s="1"/>
  <c r="AF75" i="10" s="1"/>
  <c r="AG75" i="10" s="1"/>
  <c r="S80" i="10"/>
  <c r="AC80" i="10"/>
  <c r="AD80" i="10" s="1"/>
  <c r="AE80" i="10" s="1"/>
  <c r="AF80" i="10" s="1"/>
  <c r="AG80" i="10" s="1"/>
  <c r="S82" i="10"/>
  <c r="AC82" i="10"/>
  <c r="AD82" i="10" s="1"/>
  <c r="AE82" i="10" s="1"/>
  <c r="AF82" i="10" s="1"/>
  <c r="AG82" i="10" s="1"/>
  <c r="S72" i="10"/>
  <c r="T72" i="10" s="1"/>
  <c r="W72" i="10" s="1"/>
  <c r="Y72" i="10" s="1"/>
  <c r="Z72" i="10" s="1"/>
  <c r="AC72" i="10"/>
  <c r="AD72" i="10" s="1"/>
  <c r="AE72" i="10" s="1"/>
  <c r="AF72" i="10" s="1"/>
  <c r="AG72" i="10" s="1"/>
  <c r="X73" i="10"/>
  <c r="S64" i="10"/>
  <c r="T64" i="10" s="1"/>
  <c r="W64" i="10" s="1"/>
  <c r="Y64" i="10" s="1"/>
  <c r="Z64" i="10" s="1"/>
  <c r="AC64" i="10"/>
  <c r="AD64" i="10" s="1"/>
  <c r="AE64" i="10" s="1"/>
  <c r="AF64" i="10" s="1"/>
  <c r="AG64" i="10" s="1"/>
  <c r="S65" i="10"/>
  <c r="T65" i="10" s="1"/>
  <c r="W65" i="10" s="1"/>
  <c r="Y65" i="10" s="1"/>
  <c r="Z65" i="10" s="1"/>
  <c r="AC65" i="10"/>
  <c r="AD65" i="10" s="1"/>
  <c r="AE65" i="10" s="1"/>
  <c r="AF65" i="10" s="1"/>
  <c r="AG65" i="10" s="1"/>
  <c r="S67" i="10"/>
  <c r="T67" i="10" s="1"/>
  <c r="W67" i="10" s="1"/>
  <c r="Y67" i="10" s="1"/>
  <c r="Z67" i="10" s="1"/>
  <c r="AC67" i="10"/>
  <c r="AD67" i="10" s="1"/>
  <c r="AE67" i="10" s="1"/>
  <c r="AF67" i="10" s="1"/>
  <c r="AG67" i="10" s="1"/>
  <c r="S71" i="10"/>
  <c r="T71" i="10" s="1"/>
  <c r="W71" i="10" s="1"/>
  <c r="Y71" i="10" s="1"/>
  <c r="Z71" i="10" s="1"/>
  <c r="AC71" i="10"/>
  <c r="AD71" i="10" s="1"/>
  <c r="AE71" i="10" s="1"/>
  <c r="AF71" i="10" s="1"/>
  <c r="AG71" i="10" s="1"/>
  <c r="S60" i="10"/>
  <c r="T60" i="10" s="1"/>
  <c r="W60" i="10" s="1"/>
  <c r="Y60" i="10" s="1"/>
  <c r="Z60" i="10" s="1"/>
  <c r="AC60" i="10"/>
  <c r="AD60" i="10" s="1"/>
  <c r="AE60" i="10" s="1"/>
  <c r="AF60" i="10" s="1"/>
  <c r="AG60" i="10" s="1"/>
  <c r="S59" i="10"/>
  <c r="T59" i="10" s="1"/>
  <c r="W59" i="10" s="1"/>
  <c r="Y59" i="10" s="1"/>
  <c r="Z59" i="10" s="1"/>
  <c r="AC59" i="10"/>
  <c r="AD59" i="10" s="1"/>
  <c r="AE59" i="10" s="1"/>
  <c r="AF59" i="10" s="1"/>
  <c r="AG59" i="10" s="1"/>
  <c r="S66" i="10"/>
  <c r="T66" i="10" s="1"/>
  <c r="W66" i="10" s="1"/>
  <c r="Y66" i="10" s="1"/>
  <c r="Z66" i="10" s="1"/>
  <c r="AC66" i="10"/>
  <c r="AD66" i="10" s="1"/>
  <c r="AE66" i="10" s="1"/>
  <c r="AF66" i="10" s="1"/>
  <c r="AG66" i="10" s="1"/>
  <c r="S78" i="10"/>
  <c r="T78" i="10" s="1"/>
  <c r="W78" i="10" s="1"/>
  <c r="Y78" i="10" s="1"/>
  <c r="Z78" i="10" s="1"/>
  <c r="AC78" i="10"/>
  <c r="AD78" i="10" s="1"/>
  <c r="AE78" i="10" s="1"/>
  <c r="AF78" i="10" s="1"/>
  <c r="AG78" i="10" s="1"/>
  <c r="S74" i="10"/>
  <c r="T74" i="10" s="1"/>
  <c r="W74" i="10" s="1"/>
  <c r="Y74" i="10" s="1"/>
  <c r="Z74" i="10" s="1"/>
  <c r="AC74" i="10"/>
  <c r="AD74" i="10" s="1"/>
  <c r="AE74" i="10" s="1"/>
  <c r="AF74" i="10" s="1"/>
  <c r="AG74" i="10" s="1"/>
  <c r="T80" i="10"/>
  <c r="W80" i="10" s="1"/>
  <c r="S63" i="10"/>
  <c r="T63" i="10" s="1"/>
  <c r="W63" i="10" s="1"/>
  <c r="Y63" i="10" s="1"/>
  <c r="Z63" i="10" s="1"/>
  <c r="AC63" i="10"/>
  <c r="AD63" i="10" s="1"/>
  <c r="AE63" i="10" s="1"/>
  <c r="AF63" i="10" s="1"/>
  <c r="AG63" i="10" s="1"/>
  <c r="S77" i="10"/>
  <c r="T77" i="10" s="1"/>
  <c r="W77" i="10" s="1"/>
  <c r="Y77" i="10" s="1"/>
  <c r="Z77" i="10" s="1"/>
  <c r="AC77" i="10"/>
  <c r="AD77" i="10" s="1"/>
  <c r="AE77" i="10" s="1"/>
  <c r="AF77" i="10" s="1"/>
  <c r="AG77" i="10" s="1"/>
  <c r="S81" i="10"/>
  <c r="T81" i="10" s="1"/>
  <c r="W81" i="10" s="1"/>
  <c r="Y81" i="10" s="1"/>
  <c r="Z81" i="10" s="1"/>
  <c r="AC81" i="10"/>
  <c r="AD81" i="10" s="1"/>
  <c r="AE81" i="10" s="1"/>
  <c r="AF81" i="10" s="1"/>
  <c r="AG81" i="10" s="1"/>
  <c r="S68" i="10"/>
  <c r="T68" i="10" s="1"/>
  <c r="W68" i="10" s="1"/>
  <c r="Y68" i="10" s="1"/>
  <c r="Z68" i="10" s="1"/>
  <c r="AC68" i="10"/>
  <c r="AD68" i="10" s="1"/>
  <c r="AE68" i="10" s="1"/>
  <c r="AF68" i="10" s="1"/>
  <c r="AG68" i="10" s="1"/>
  <c r="S62" i="10"/>
  <c r="T62" i="10" s="1"/>
  <c r="W62" i="10" s="1"/>
  <c r="Y62" i="10" s="1"/>
  <c r="Z62" i="10" s="1"/>
  <c r="AC62" i="10"/>
  <c r="AD62" i="10" s="1"/>
  <c r="AE62" i="10" s="1"/>
  <c r="AF62" i="10" s="1"/>
  <c r="AG62" i="10" s="1"/>
  <c r="S76" i="10"/>
  <c r="T76" i="10" s="1"/>
  <c r="W76" i="10" s="1"/>
  <c r="Y76" i="10" s="1"/>
  <c r="Z76" i="10" s="1"/>
  <c r="AC76" i="10"/>
  <c r="AD76" i="10" s="1"/>
  <c r="AE76" i="10" s="1"/>
  <c r="AF76" i="10" s="1"/>
  <c r="AG76" i="10" s="1"/>
  <c r="AD27" i="13"/>
  <c r="AC27" i="13"/>
  <c r="AE27" i="13" s="1"/>
  <c r="AF27" i="13" s="1"/>
  <c r="AD31" i="13"/>
  <c r="AC31" i="13"/>
  <c r="AE31" i="13" s="1"/>
  <c r="AF31" i="13" s="1"/>
  <c r="V21" i="6"/>
  <c r="W21" i="6" s="1"/>
  <c r="AA23" i="13"/>
  <c r="AB23" i="13" s="1"/>
  <c r="P12" i="5"/>
  <c r="Q12" i="5" s="1"/>
  <c r="P28" i="5"/>
  <c r="Q28" i="5" s="1"/>
  <c r="AA20" i="13"/>
  <c r="AB20" i="13" s="1"/>
  <c r="AA24" i="13"/>
  <c r="AB24" i="13" s="1"/>
  <c r="R35" i="13"/>
  <c r="V35" i="13" s="1"/>
  <c r="W35" i="13" s="1"/>
  <c r="X35" i="13" s="1"/>
  <c r="Y35" i="13" s="1"/>
  <c r="Q35" i="13"/>
  <c r="S35" i="13" s="1"/>
  <c r="T35" i="13" s="1"/>
  <c r="Z35" i="13" s="1"/>
  <c r="AD22" i="13"/>
  <c r="AC22" i="13"/>
  <c r="AE22" i="13" s="1"/>
  <c r="AF22" i="13" s="1"/>
  <c r="AD19" i="13"/>
  <c r="AC19" i="13"/>
  <c r="R26" i="13"/>
  <c r="V26" i="13" s="1"/>
  <c r="W26" i="13" s="1"/>
  <c r="X26" i="13" s="1"/>
  <c r="Y26" i="13" s="1"/>
  <c r="Q26" i="13"/>
  <c r="S26" i="13" s="1"/>
  <c r="T26" i="13" s="1"/>
  <c r="Z26" i="13" s="1"/>
  <c r="AA26" i="13" s="1"/>
  <c r="AB26" i="13" s="1"/>
  <c r="AD26" i="13" s="1"/>
  <c r="AD32" i="13"/>
  <c r="AC32" i="13"/>
  <c r="AE32" i="13" s="1"/>
  <c r="AF32" i="13" s="1"/>
  <c r="AD33" i="13"/>
  <c r="AC33" i="13"/>
  <c r="AA28" i="13"/>
  <c r="AB28" i="13" s="1"/>
  <c r="AD17" i="13"/>
  <c r="AC17" i="13"/>
  <c r="AE17" i="13" s="1"/>
  <c r="AF17" i="13" s="1"/>
  <c r="AE25" i="13"/>
  <c r="AF25" i="13" s="1"/>
  <c r="AA15" i="13"/>
  <c r="AB15" i="13" s="1"/>
  <c r="AC13" i="13"/>
  <c r="AE13" i="13" s="1"/>
  <c r="AF13" i="13" s="1"/>
  <c r="Q69" i="10"/>
  <c r="X69" i="10"/>
  <c r="O12" i="10"/>
  <c r="P12" i="10" s="1"/>
  <c r="V12" i="10" s="1"/>
  <c r="AE12" i="10" s="1"/>
  <c r="AF12" i="10" s="1"/>
  <c r="AU35" i="13"/>
  <c r="AU36" i="13" s="1"/>
  <c r="AU37" i="13" s="1"/>
  <c r="W19" i="10"/>
  <c r="AE19" i="10"/>
  <c r="AF19" i="10" s="1"/>
  <c r="W34" i="10"/>
  <c r="AE34" i="10"/>
  <c r="AF34" i="10" s="1"/>
  <c r="W31" i="10"/>
  <c r="AE31" i="10"/>
  <c r="AF31" i="10" s="1"/>
  <c r="W20" i="10"/>
  <c r="AE20" i="10"/>
  <c r="AF20" i="10" s="1"/>
  <c r="W21" i="10"/>
  <c r="AE21" i="10"/>
  <c r="AF21" i="10" s="1"/>
  <c r="W23" i="10"/>
  <c r="AE23" i="10"/>
  <c r="AF23" i="10" s="1"/>
  <c r="W36" i="10"/>
  <c r="AE36" i="10"/>
  <c r="AF36" i="10" s="1"/>
  <c r="W27" i="10"/>
  <c r="AE27" i="10"/>
  <c r="AF27" i="10" s="1"/>
  <c r="W18" i="10"/>
  <c r="AE18" i="10"/>
  <c r="AF18" i="10" s="1"/>
  <c r="W26" i="10"/>
  <c r="AE26" i="10"/>
  <c r="AF26" i="10" s="1"/>
  <c r="W22" i="10"/>
  <c r="AE22" i="10"/>
  <c r="AF22" i="10" s="1"/>
  <c r="W14" i="10"/>
  <c r="AE14" i="10"/>
  <c r="AF14" i="10" s="1"/>
  <c r="W33" i="10"/>
  <c r="AE33" i="10"/>
  <c r="AF33" i="10" s="1"/>
  <c r="W29" i="10"/>
  <c r="AE29" i="10"/>
  <c r="AF29" i="10" s="1"/>
  <c r="W17" i="10"/>
  <c r="AE17" i="10"/>
  <c r="AF17" i="10" s="1"/>
  <c r="W16" i="10"/>
  <c r="AE16" i="10"/>
  <c r="AF16" i="10" s="1"/>
  <c r="P79" i="10"/>
  <c r="R79" i="10" s="1"/>
  <c r="P73" i="10"/>
  <c r="R73" i="10" s="1"/>
  <c r="Y82" i="10"/>
  <c r="Z82" i="10" s="1"/>
  <c r="Y80" i="10"/>
  <c r="Z80" i="10" s="1"/>
  <c r="Q79" i="10"/>
  <c r="Q73" i="10"/>
  <c r="V32" i="10"/>
  <c r="V30" i="10"/>
  <c r="V28" i="10"/>
  <c r="V25" i="10"/>
  <c r="V13" i="10"/>
  <c r="V35" i="10"/>
  <c r="V24" i="10"/>
  <c r="V15" i="10"/>
  <c r="T29" i="6"/>
  <c r="V29" i="6" s="1"/>
  <c r="W29" i="6" s="1"/>
  <c r="T35" i="6"/>
  <c r="V35" i="6" s="1"/>
  <c r="W35" i="6" s="1"/>
  <c r="T27" i="6"/>
  <c r="V27" i="6" s="1"/>
  <c r="W27" i="6" s="1"/>
  <c r="V36" i="6"/>
  <c r="W36" i="6" s="1"/>
  <c r="T19" i="6"/>
  <c r="V19" i="6" s="1"/>
  <c r="W19" i="6" s="1"/>
  <c r="V28" i="6"/>
  <c r="W28" i="6" s="1"/>
  <c r="T16" i="6"/>
  <c r="V16" i="6" s="1"/>
  <c r="W16" i="6" s="1"/>
  <c r="T18" i="6"/>
  <c r="V18" i="6" s="1"/>
  <c r="W18" i="6" s="1"/>
  <c r="T14" i="6"/>
  <c r="V14" i="6" s="1"/>
  <c r="W14" i="6" s="1"/>
  <c r="T15" i="6"/>
  <c r="V15" i="6" s="1"/>
  <c r="W15" i="6" s="1"/>
  <c r="T34" i="6"/>
  <c r="V34" i="6" s="1"/>
  <c r="W34" i="6" s="1"/>
  <c r="V30" i="6"/>
  <c r="W30" i="6" s="1"/>
  <c r="P23" i="5"/>
  <c r="Q23" i="5" s="1"/>
  <c r="P15" i="5"/>
  <c r="Q15" i="5" s="1"/>
  <c r="B65" i="2"/>
  <c r="B56" i="2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B74" i="2"/>
  <c r="B75" i="2"/>
  <c r="B76" i="2"/>
  <c r="B77" i="2"/>
  <c r="S73" i="10" l="1"/>
  <c r="T73" i="10" s="1"/>
  <c r="W73" i="10" s="1"/>
  <c r="Y73" i="10" s="1"/>
  <c r="Z73" i="10" s="1"/>
  <c r="AC73" i="10"/>
  <c r="AD73" i="10" s="1"/>
  <c r="AE73" i="10" s="1"/>
  <c r="AF73" i="10" s="1"/>
  <c r="AG73" i="10" s="1"/>
  <c r="S69" i="10"/>
  <c r="T69" i="10" s="1"/>
  <c r="W69" i="10" s="1"/>
  <c r="Y69" i="10" s="1"/>
  <c r="Z69" i="10" s="1"/>
  <c r="AC69" i="10"/>
  <c r="AD69" i="10" s="1"/>
  <c r="AE69" i="10" s="1"/>
  <c r="AF69" i="10" s="1"/>
  <c r="AG69" i="10" s="1"/>
  <c r="S79" i="10"/>
  <c r="AC79" i="10"/>
  <c r="AD79" i="10" s="1"/>
  <c r="AE79" i="10" s="1"/>
  <c r="AF79" i="10" s="1"/>
  <c r="AG79" i="10" s="1"/>
  <c r="AD15" i="13"/>
  <c r="AC15" i="13"/>
  <c r="AE15" i="13" s="1"/>
  <c r="AF15" i="13" s="1"/>
  <c r="AD23" i="13"/>
  <c r="AC23" i="13"/>
  <c r="AE23" i="13" s="1"/>
  <c r="AF23" i="13" s="1"/>
  <c r="AA35" i="13"/>
  <c r="AB35" i="13" s="1"/>
  <c r="AD28" i="13"/>
  <c r="AC28" i="13"/>
  <c r="AE28" i="13" s="1"/>
  <c r="AF28" i="13" s="1"/>
  <c r="AC26" i="13"/>
  <c r="AE26" i="13" s="1"/>
  <c r="AF26" i="13" s="1"/>
  <c r="AD24" i="13"/>
  <c r="AC24" i="13"/>
  <c r="AE24" i="13" s="1"/>
  <c r="AF24" i="13" s="1"/>
  <c r="AE33" i="13"/>
  <c r="AF33" i="13" s="1"/>
  <c r="AE19" i="13"/>
  <c r="AF19" i="13" s="1"/>
  <c r="AD20" i="13"/>
  <c r="AC20" i="13"/>
  <c r="AE20" i="13" s="1"/>
  <c r="AF20" i="13" s="1"/>
  <c r="W35" i="10"/>
  <c r="AE35" i="10"/>
  <c r="AF35" i="10" s="1"/>
  <c r="W13" i="10"/>
  <c r="AE13" i="10"/>
  <c r="AF13" i="10" s="1"/>
  <c r="W25" i="10"/>
  <c r="AE25" i="10"/>
  <c r="AF25" i="10" s="1"/>
  <c r="W28" i="10"/>
  <c r="AE28" i="10"/>
  <c r="AF28" i="10" s="1"/>
  <c r="W30" i="10"/>
  <c r="AE30" i="10"/>
  <c r="AF30" i="10" s="1"/>
  <c r="W32" i="10"/>
  <c r="AE32" i="10"/>
  <c r="AF32" i="10" s="1"/>
  <c r="W12" i="10"/>
  <c r="W15" i="10"/>
  <c r="AE15" i="10"/>
  <c r="AF15" i="10" s="1"/>
  <c r="W24" i="10"/>
  <c r="AE24" i="10"/>
  <c r="AF24" i="10" s="1"/>
  <c r="T79" i="10"/>
  <c r="W79" i="10" s="1"/>
  <c r="Y79" i="10" s="1"/>
  <c r="Z79" i="10" s="1"/>
  <c r="Z32" i="6"/>
  <c r="Z33" i="6" s="1"/>
  <c r="Z34" i="6" s="1"/>
  <c r="X29" i="5"/>
  <c r="X30" i="5" s="1"/>
  <c r="X31" i="5" s="1"/>
  <c r="C3" i="3"/>
  <c r="C2" i="3"/>
  <c r="AD86" i="10" l="1"/>
  <c r="AD87" i="10" s="1"/>
  <c r="AD88" i="10" s="1"/>
  <c r="AD91" i="10" s="1"/>
  <c r="V39" i="10"/>
  <c r="V41" i="10" s="1"/>
  <c r="Z39" i="10"/>
  <c r="Z40" i="10" s="1"/>
  <c r="Z41" i="10" s="1"/>
  <c r="AD35" i="13"/>
  <c r="AC35" i="13"/>
  <c r="AE35" i="13" s="1"/>
  <c r="AF35" i="13" s="1"/>
  <c r="AE39" i="13" s="1"/>
  <c r="AE40" i="13" s="1"/>
  <c r="AE41" i="13" s="1"/>
  <c r="X86" i="10"/>
  <c r="X87" i="10" s="1"/>
  <c r="X88" i="10" s="1"/>
  <c r="B7" i="3"/>
  <c r="C7" i="3" s="1"/>
  <c r="T10" i="3"/>
  <c r="U10" i="3" s="1"/>
  <c r="T18" i="3"/>
  <c r="U18" i="3" s="1"/>
  <c r="T26" i="3"/>
  <c r="U26" i="3" s="1"/>
  <c r="R12" i="3"/>
  <c r="S12" i="3" s="1"/>
  <c r="R20" i="3"/>
  <c r="S20" i="3" s="1"/>
  <c r="R28" i="3"/>
  <c r="S28" i="3" s="1"/>
  <c r="P21" i="3"/>
  <c r="P29" i="3"/>
  <c r="Q29" i="3" s="1"/>
  <c r="P7" i="3"/>
  <c r="Q7" i="3" s="1"/>
  <c r="N15" i="3"/>
  <c r="O15" i="3" s="1"/>
  <c r="N23" i="3"/>
  <c r="O23" i="3" s="1"/>
  <c r="L8" i="3"/>
  <c r="M8" i="3" s="1"/>
  <c r="L16" i="3"/>
  <c r="M16" i="3" s="1"/>
  <c r="L24" i="3"/>
  <c r="M24" i="3" s="1"/>
  <c r="J9" i="3"/>
  <c r="K9" i="3" s="1"/>
  <c r="J17" i="3"/>
  <c r="K17" i="3" s="1"/>
  <c r="J25" i="3"/>
  <c r="K25" i="3" s="1"/>
  <c r="H10" i="3"/>
  <c r="I10" i="3" s="1"/>
  <c r="H18" i="3"/>
  <c r="I18" i="3" s="1"/>
  <c r="H26" i="3"/>
  <c r="I26" i="3" s="1"/>
  <c r="F11" i="3"/>
  <c r="G11" i="3" s="1"/>
  <c r="F19" i="3"/>
  <c r="G19" i="3" s="1"/>
  <c r="F27" i="3"/>
  <c r="G27" i="3" s="1"/>
  <c r="D12" i="3"/>
  <c r="E12" i="3" s="1"/>
  <c r="D20" i="3"/>
  <c r="E20" i="3" s="1"/>
  <c r="D28" i="3"/>
  <c r="E28" i="3" s="1"/>
  <c r="B13" i="3"/>
  <c r="C13" i="3" s="1"/>
  <c r="B21" i="3"/>
  <c r="C21" i="3" s="1"/>
  <c r="B29" i="3"/>
  <c r="C29" i="3" s="1"/>
  <c r="D7" i="3"/>
  <c r="E7" i="3" s="1"/>
  <c r="B23" i="3"/>
  <c r="C23" i="3" s="1"/>
  <c r="J20" i="3"/>
  <c r="K20" i="3" s="1"/>
  <c r="H13" i="3"/>
  <c r="I13" i="3" s="1"/>
  <c r="H29" i="3"/>
  <c r="I29" i="3" s="1"/>
  <c r="F7" i="3"/>
  <c r="G7" i="3" s="1"/>
  <c r="D23" i="3"/>
  <c r="E23" i="3" s="1"/>
  <c r="B24" i="3"/>
  <c r="C24" i="3" s="1"/>
  <c r="B25" i="3"/>
  <c r="C25" i="3" s="1"/>
  <c r="P10" i="3"/>
  <c r="Q10" i="3" s="1"/>
  <c r="N28" i="3"/>
  <c r="O28" i="3" s="1"/>
  <c r="J14" i="3"/>
  <c r="K14" i="3" s="1"/>
  <c r="H15" i="3"/>
  <c r="I15" i="3" s="1"/>
  <c r="F24" i="3"/>
  <c r="G24" i="3" s="1"/>
  <c r="D25" i="3"/>
  <c r="E25" i="3" s="1"/>
  <c r="T8" i="3"/>
  <c r="U8" i="3" s="1"/>
  <c r="R18" i="3"/>
  <c r="S18" i="3" s="1"/>
  <c r="N21" i="3"/>
  <c r="O21" i="3" s="1"/>
  <c r="L7" i="3"/>
  <c r="M7" i="3" s="1"/>
  <c r="H16" i="3"/>
  <c r="I16" i="3" s="1"/>
  <c r="F17" i="3"/>
  <c r="G17" i="3" s="1"/>
  <c r="B11" i="3"/>
  <c r="C11" i="3" s="1"/>
  <c r="R19" i="3"/>
  <c r="S19" i="3" s="1"/>
  <c r="N14" i="3"/>
  <c r="O14" i="3" s="1"/>
  <c r="J8" i="3"/>
  <c r="K8" i="3" s="1"/>
  <c r="H17" i="3"/>
  <c r="I17" i="3" s="1"/>
  <c r="F18" i="3"/>
  <c r="G18" i="3" s="1"/>
  <c r="D27" i="3"/>
  <c r="E27" i="3" s="1"/>
  <c r="T11" i="3"/>
  <c r="U11" i="3" s="1"/>
  <c r="T19" i="3"/>
  <c r="U19" i="3" s="1"/>
  <c r="T27" i="3"/>
  <c r="U27" i="3" s="1"/>
  <c r="R13" i="3"/>
  <c r="S13" i="3" s="1"/>
  <c r="R21" i="3"/>
  <c r="S21" i="3" s="1"/>
  <c r="R29" i="3"/>
  <c r="S29" i="3" s="1"/>
  <c r="P22" i="3"/>
  <c r="Q22" i="3" s="1"/>
  <c r="P11" i="3"/>
  <c r="Q11" i="3" s="1"/>
  <c r="N8" i="3"/>
  <c r="O8" i="3" s="1"/>
  <c r="N16" i="3"/>
  <c r="O16" i="3" s="1"/>
  <c r="N24" i="3"/>
  <c r="O24" i="3" s="1"/>
  <c r="L9" i="3"/>
  <c r="M9" i="3" s="1"/>
  <c r="L17" i="3"/>
  <c r="M17" i="3" s="1"/>
  <c r="L25" i="3"/>
  <c r="M25" i="3" s="1"/>
  <c r="J10" i="3"/>
  <c r="K10" i="3" s="1"/>
  <c r="J18" i="3"/>
  <c r="K18" i="3" s="1"/>
  <c r="J26" i="3"/>
  <c r="K26" i="3" s="1"/>
  <c r="H11" i="3"/>
  <c r="I11" i="3" s="1"/>
  <c r="H19" i="3"/>
  <c r="I19" i="3" s="1"/>
  <c r="H27" i="3"/>
  <c r="I27" i="3" s="1"/>
  <c r="F12" i="3"/>
  <c r="G12" i="3" s="1"/>
  <c r="F20" i="3"/>
  <c r="G20" i="3" s="1"/>
  <c r="F28" i="3"/>
  <c r="G28" i="3" s="1"/>
  <c r="D13" i="3"/>
  <c r="E13" i="3" s="1"/>
  <c r="D21" i="3"/>
  <c r="E21" i="3" s="1"/>
  <c r="D29" i="3"/>
  <c r="E29" i="3" s="1"/>
  <c r="B14" i="3"/>
  <c r="C14" i="3" s="1"/>
  <c r="B22" i="3"/>
  <c r="C22" i="3" s="1"/>
  <c r="L10" i="3"/>
  <c r="M10" i="3" s="1"/>
  <c r="L26" i="3"/>
  <c r="M26" i="3" s="1"/>
  <c r="J11" i="3"/>
  <c r="K11" i="3" s="1"/>
  <c r="J27" i="3"/>
  <c r="K27" i="3" s="1"/>
  <c r="H12" i="3"/>
  <c r="I12" i="3" s="1"/>
  <c r="H20" i="3"/>
  <c r="I20" i="3" s="1"/>
  <c r="H28" i="3"/>
  <c r="I28" i="3" s="1"/>
  <c r="F13" i="3"/>
  <c r="G13" i="3" s="1"/>
  <c r="F29" i="3"/>
  <c r="G29" i="3" s="1"/>
  <c r="D14" i="3"/>
  <c r="E14" i="3" s="1"/>
  <c r="D22" i="3"/>
  <c r="E22" i="3" s="1"/>
  <c r="B15" i="3"/>
  <c r="C15" i="3" s="1"/>
  <c r="L27" i="3"/>
  <c r="M27" i="3" s="1"/>
  <c r="H21" i="3"/>
  <c r="I21" i="3" s="1"/>
  <c r="F14" i="3"/>
  <c r="G14" i="3" s="1"/>
  <c r="D15" i="3"/>
  <c r="E15" i="3" s="1"/>
  <c r="B8" i="3"/>
  <c r="C8" i="3" s="1"/>
  <c r="B17" i="3"/>
  <c r="C17" i="3" s="1"/>
  <c r="T15" i="3"/>
  <c r="U15" i="3" s="1"/>
  <c r="R9" i="3"/>
  <c r="S9" i="3" s="1"/>
  <c r="N12" i="3"/>
  <c r="O12" i="3" s="1"/>
  <c r="L13" i="3"/>
  <c r="M13" i="3" s="1"/>
  <c r="J22" i="3"/>
  <c r="K22" i="3" s="1"/>
  <c r="H23" i="3"/>
  <c r="I23" i="3" s="1"/>
  <c r="D9" i="3"/>
  <c r="E9" i="3" s="1"/>
  <c r="B10" i="3"/>
  <c r="C10" i="3" s="1"/>
  <c r="T16" i="3"/>
  <c r="U16" i="3" s="1"/>
  <c r="R10" i="3"/>
  <c r="S10" i="3" s="1"/>
  <c r="P8" i="3"/>
  <c r="Q8" i="3" s="1"/>
  <c r="L22" i="3"/>
  <c r="M22" i="3" s="1"/>
  <c r="J23" i="3"/>
  <c r="K23" i="3" s="1"/>
  <c r="F9" i="3"/>
  <c r="G9" i="3" s="1"/>
  <c r="D26" i="3"/>
  <c r="E26" i="3" s="1"/>
  <c r="T9" i="3"/>
  <c r="U9" i="3" s="1"/>
  <c r="R27" i="3"/>
  <c r="S27" i="3" s="1"/>
  <c r="P20" i="3"/>
  <c r="Q20" i="3" s="1"/>
  <c r="N22" i="3"/>
  <c r="O22" i="3" s="1"/>
  <c r="J16" i="3"/>
  <c r="K16" i="3" s="1"/>
  <c r="H25" i="3"/>
  <c r="I25" i="3" s="1"/>
  <c r="D11" i="3"/>
  <c r="E11" i="3" s="1"/>
  <c r="B12" i="3"/>
  <c r="C12" i="3" s="1"/>
  <c r="T12" i="3"/>
  <c r="U12" i="3" s="1"/>
  <c r="T20" i="3"/>
  <c r="U20" i="3" s="1"/>
  <c r="T28" i="3"/>
  <c r="U28" i="3" s="1"/>
  <c r="R14" i="3"/>
  <c r="S14" i="3" s="1"/>
  <c r="R22" i="3"/>
  <c r="S22" i="3" s="1"/>
  <c r="R7" i="3"/>
  <c r="S7" i="3" s="1"/>
  <c r="P15" i="3"/>
  <c r="Q15" i="3" s="1"/>
  <c r="P23" i="3"/>
  <c r="Q23" i="3" s="1"/>
  <c r="P12" i="3"/>
  <c r="Q12" i="3" s="1"/>
  <c r="N9" i="3"/>
  <c r="O9" i="3" s="1"/>
  <c r="N17" i="3"/>
  <c r="O17" i="3" s="1"/>
  <c r="N25" i="3"/>
  <c r="O25" i="3" s="1"/>
  <c r="L18" i="3"/>
  <c r="M18" i="3" s="1"/>
  <c r="J19" i="3"/>
  <c r="K19" i="3" s="1"/>
  <c r="F21" i="3"/>
  <c r="G21" i="3" s="1"/>
  <c r="B16" i="3"/>
  <c r="C16" i="3" s="1"/>
  <c r="R25" i="3"/>
  <c r="S25" i="3" s="1"/>
  <c r="L29" i="3"/>
  <c r="M29" i="3" s="1"/>
  <c r="B18" i="3"/>
  <c r="C18" i="3" s="1"/>
  <c r="N13" i="3"/>
  <c r="O13" i="3" s="1"/>
  <c r="D10" i="3"/>
  <c r="E10" i="3" s="1"/>
  <c r="R11" i="3"/>
  <c r="S11" i="3" s="1"/>
  <c r="L15" i="3"/>
  <c r="M15" i="3" s="1"/>
  <c r="B28" i="3"/>
  <c r="C28" i="3" s="1"/>
  <c r="T13" i="3"/>
  <c r="U13" i="3" s="1"/>
  <c r="T21" i="3"/>
  <c r="U21" i="3" s="1"/>
  <c r="T29" i="3"/>
  <c r="U29" i="3" s="1"/>
  <c r="R15" i="3"/>
  <c r="S15" i="3" s="1"/>
  <c r="R23" i="3"/>
  <c r="S23" i="3" s="1"/>
  <c r="P16" i="3"/>
  <c r="Q16" i="3" s="1"/>
  <c r="P24" i="3"/>
  <c r="Q24" i="3" s="1"/>
  <c r="P13" i="3"/>
  <c r="Q13" i="3" s="1"/>
  <c r="N10" i="3"/>
  <c r="O10" i="3" s="1"/>
  <c r="N18" i="3"/>
  <c r="O18" i="3" s="1"/>
  <c r="N26" i="3"/>
  <c r="O26" i="3" s="1"/>
  <c r="L11" i="3"/>
  <c r="M11" i="3" s="1"/>
  <c r="L19" i="3"/>
  <c r="M19" i="3" s="1"/>
  <c r="J12" i="3"/>
  <c r="K12" i="3" s="1"/>
  <c r="J28" i="3"/>
  <c r="K28" i="3" s="1"/>
  <c r="F22" i="3"/>
  <c r="G22" i="3" s="1"/>
  <c r="T23" i="3"/>
  <c r="U23" i="3" s="1"/>
  <c r="R17" i="3"/>
  <c r="S17" i="3" s="1"/>
  <c r="P26" i="3"/>
  <c r="Q26" i="3" s="1"/>
  <c r="N20" i="3"/>
  <c r="O20" i="3" s="1"/>
  <c r="J7" i="3"/>
  <c r="K7" i="3" s="1"/>
  <c r="F8" i="3"/>
  <c r="G8" i="3" s="1"/>
  <c r="D17" i="3"/>
  <c r="E17" i="3" s="1"/>
  <c r="T24" i="3"/>
  <c r="U24" i="3" s="1"/>
  <c r="P19" i="3"/>
  <c r="Q19" i="3" s="1"/>
  <c r="N29" i="3"/>
  <c r="O29" i="3" s="1"/>
  <c r="J15" i="3"/>
  <c r="K15" i="3" s="1"/>
  <c r="H24" i="3"/>
  <c r="I24" i="3" s="1"/>
  <c r="D18" i="3"/>
  <c r="E18" i="3" s="1"/>
  <c r="B19" i="3"/>
  <c r="C19" i="3" s="1"/>
  <c r="T25" i="3"/>
  <c r="U25" i="3" s="1"/>
  <c r="P28" i="3"/>
  <c r="Q28" i="3" s="1"/>
  <c r="N7" i="3"/>
  <c r="O7" i="3" s="1"/>
  <c r="J24" i="3"/>
  <c r="K24" i="3" s="1"/>
  <c r="F10" i="3"/>
  <c r="G10" i="3" s="1"/>
  <c r="D19" i="3"/>
  <c r="E19" i="3" s="1"/>
  <c r="B20" i="3"/>
  <c r="C20" i="3" s="1"/>
  <c r="T14" i="3"/>
  <c r="U14" i="3" s="1"/>
  <c r="T22" i="3"/>
  <c r="U22" i="3" s="1"/>
  <c r="T7" i="3"/>
  <c r="U7" i="3" s="1"/>
  <c r="R8" i="3"/>
  <c r="S8" i="3" s="1"/>
  <c r="R16" i="3"/>
  <c r="S16" i="3" s="1"/>
  <c r="R24" i="3"/>
  <c r="S24" i="3" s="1"/>
  <c r="P17" i="3"/>
  <c r="Q17" i="3" s="1"/>
  <c r="P25" i="3"/>
  <c r="Q25" i="3" s="1"/>
  <c r="P14" i="3"/>
  <c r="Q14" i="3" s="1"/>
  <c r="N11" i="3"/>
  <c r="O11" i="3" s="1"/>
  <c r="N19" i="3"/>
  <c r="O19" i="3" s="1"/>
  <c r="N27" i="3"/>
  <c r="O27" i="3" s="1"/>
  <c r="L12" i="3"/>
  <c r="M12" i="3" s="1"/>
  <c r="L20" i="3"/>
  <c r="M20" i="3" s="1"/>
  <c r="L28" i="3"/>
  <c r="M28" i="3" s="1"/>
  <c r="J13" i="3"/>
  <c r="K13" i="3" s="1"/>
  <c r="J21" i="3"/>
  <c r="K21" i="3" s="1"/>
  <c r="J29" i="3"/>
  <c r="K29" i="3" s="1"/>
  <c r="H14" i="3"/>
  <c r="I14" i="3" s="1"/>
  <c r="H22" i="3"/>
  <c r="I22" i="3" s="1"/>
  <c r="H7" i="3"/>
  <c r="I7" i="3" s="1"/>
  <c r="F15" i="3"/>
  <c r="G15" i="3" s="1"/>
  <c r="F23" i="3"/>
  <c r="G23" i="3" s="1"/>
  <c r="D8" i="3"/>
  <c r="E8" i="3" s="1"/>
  <c r="D16" i="3"/>
  <c r="E16" i="3" s="1"/>
  <c r="D24" i="3"/>
  <c r="E24" i="3" s="1"/>
  <c r="B9" i="3"/>
  <c r="C9" i="3" s="1"/>
  <c r="P18" i="3"/>
  <c r="Q18" i="3" s="1"/>
  <c r="L21" i="3"/>
  <c r="M21" i="3" s="1"/>
  <c r="F16" i="3"/>
  <c r="G16" i="3" s="1"/>
  <c r="B26" i="3"/>
  <c r="C26" i="3" s="1"/>
  <c r="R26" i="3"/>
  <c r="S26" i="3" s="1"/>
  <c r="P27" i="3"/>
  <c r="Q27" i="3" s="1"/>
  <c r="L14" i="3"/>
  <c r="M14" i="3" s="1"/>
  <c r="H8" i="3"/>
  <c r="I8" i="3" s="1"/>
  <c r="F25" i="3"/>
  <c r="G25" i="3" s="1"/>
  <c r="B27" i="3"/>
  <c r="C27" i="3" s="1"/>
  <c r="T17" i="3"/>
  <c r="U17" i="3" s="1"/>
  <c r="P9" i="3"/>
  <c r="Q9" i="3" s="1"/>
  <c r="L23" i="3"/>
  <c r="M23" i="3" s="1"/>
  <c r="H9" i="3"/>
  <c r="I9" i="3" s="1"/>
  <c r="F26" i="3"/>
  <c r="G26" i="3" s="1"/>
  <c r="J7" i="1"/>
  <c r="B6" i="1"/>
  <c r="B17" i="1" s="1"/>
  <c r="X94" i="10" l="1"/>
  <c r="AD92" i="10"/>
  <c r="Q21" i="3"/>
  <c r="B13" i="1"/>
  <c r="C13" i="1" s="1"/>
  <c r="E13" i="1" s="1"/>
  <c r="C17" i="1"/>
  <c r="B20" i="1"/>
  <c r="B32" i="1"/>
  <c r="C32" i="1" s="1"/>
  <c r="E32" i="1" s="1"/>
  <c r="B16" i="1"/>
  <c r="B30" i="1"/>
  <c r="C30" i="1" s="1"/>
  <c r="E30" i="1" s="1"/>
  <c r="B15" i="1"/>
  <c r="C15" i="1" s="1"/>
  <c r="E15" i="1" s="1"/>
  <c r="B21" i="1"/>
  <c r="B34" i="1"/>
  <c r="C34" i="1" s="1"/>
  <c r="E34" i="1" s="1"/>
  <c r="B29" i="1"/>
  <c r="C29" i="1" s="1"/>
  <c r="E29" i="1" s="1"/>
  <c r="B14" i="1"/>
  <c r="C14" i="1" s="1"/>
  <c r="E14" i="1" s="1"/>
  <c r="B26" i="1"/>
  <c r="B24" i="1"/>
  <c r="B23" i="1"/>
  <c r="C23" i="1" s="1"/>
  <c r="E23" i="1" s="1"/>
  <c r="B31" i="1"/>
  <c r="C31" i="1" s="1"/>
  <c r="E31" i="1" s="1"/>
  <c r="B22" i="1"/>
  <c r="C22" i="1" s="1"/>
  <c r="E22" i="1" s="1"/>
  <c r="B19" i="1"/>
  <c r="C19" i="1" s="1"/>
  <c r="B28" i="1"/>
  <c r="C28" i="1" s="1"/>
  <c r="E28" i="1" s="1"/>
  <c r="B27" i="1"/>
  <c r="C27" i="1" s="1"/>
  <c r="E27" i="1" s="1"/>
  <c r="B18" i="1"/>
  <c r="C18" i="1" s="1"/>
  <c r="B33" i="1"/>
  <c r="C33" i="1" s="1"/>
  <c r="E33" i="1" s="1"/>
  <c r="B25" i="1"/>
  <c r="C25" i="1" s="1"/>
  <c r="E25" i="1" s="1"/>
  <c r="G13" i="1" l="1"/>
  <c r="H13" i="1" s="1"/>
  <c r="F13" i="1"/>
  <c r="G22" i="1"/>
  <c r="H22" i="1" s="1"/>
  <c r="F22" i="1"/>
  <c r="G33" i="1"/>
  <c r="H33" i="1" s="1"/>
  <c r="F33" i="1"/>
  <c r="G30" i="1"/>
  <c r="H30" i="1" s="1"/>
  <c r="F30" i="1"/>
  <c r="G34" i="1"/>
  <c r="H34" i="1" s="1"/>
  <c r="F34" i="1"/>
  <c r="G23" i="1"/>
  <c r="H23" i="1" s="1"/>
  <c r="F23" i="1"/>
  <c r="G32" i="1"/>
  <c r="H32" i="1" s="1"/>
  <c r="F32" i="1"/>
  <c r="G15" i="1"/>
  <c r="H15" i="1" s="1"/>
  <c r="F15" i="1"/>
  <c r="G14" i="1"/>
  <c r="H14" i="1" s="1"/>
  <c r="F14" i="1"/>
  <c r="G25" i="1"/>
  <c r="H25" i="1" s="1"/>
  <c r="F25" i="1"/>
  <c r="G31" i="1"/>
  <c r="H31" i="1" s="1"/>
  <c r="F31" i="1"/>
  <c r="G27" i="1"/>
  <c r="H27" i="1" s="1"/>
  <c r="F27" i="1"/>
  <c r="G28" i="1"/>
  <c r="H28" i="1" s="1"/>
  <c r="F28" i="1"/>
  <c r="G29" i="1"/>
  <c r="H29" i="1" s="1"/>
  <c r="F29" i="1"/>
  <c r="E18" i="1"/>
  <c r="D18" i="1"/>
  <c r="E19" i="1"/>
  <c r="D19" i="1"/>
  <c r="D17" i="1"/>
  <c r="E17" i="1"/>
  <c r="C24" i="1"/>
  <c r="C16" i="1"/>
  <c r="C26" i="1"/>
  <c r="C21" i="1"/>
  <c r="C20" i="1"/>
  <c r="D34" i="1"/>
  <c r="D15" i="1"/>
  <c r="D30" i="1"/>
  <c r="D32" i="1"/>
  <c r="D14" i="1"/>
  <c r="D29" i="1"/>
  <c r="D23" i="1"/>
  <c r="D33" i="1"/>
  <c r="D13" i="1"/>
  <c r="D25" i="1"/>
  <c r="D31" i="1"/>
  <c r="D27" i="1"/>
  <c r="D22" i="1"/>
  <c r="D28" i="1"/>
  <c r="G19" i="1" l="1"/>
  <c r="H19" i="1" s="1"/>
  <c r="F19" i="1"/>
  <c r="G18" i="1"/>
  <c r="H18" i="1" s="1"/>
  <c r="F18" i="1"/>
  <c r="G17" i="1"/>
  <c r="H17" i="1" s="1"/>
  <c r="F17" i="1"/>
  <c r="D21" i="1"/>
  <c r="E21" i="1"/>
  <c r="D16" i="1"/>
  <c r="E16" i="1"/>
  <c r="D20" i="1"/>
  <c r="E20" i="1"/>
  <c r="D26" i="1"/>
  <c r="E26" i="1"/>
  <c r="D24" i="1"/>
  <c r="E24" i="1"/>
  <c r="G24" i="1" l="1"/>
  <c r="H24" i="1" s="1"/>
  <c r="F24" i="1"/>
  <c r="G21" i="1"/>
  <c r="H21" i="1" s="1"/>
  <c r="F21" i="1"/>
  <c r="G20" i="1"/>
  <c r="H20" i="1" s="1"/>
  <c r="F20" i="1"/>
  <c r="G26" i="1"/>
  <c r="H26" i="1" s="1"/>
  <c r="F26" i="1"/>
  <c r="G16" i="1"/>
  <c r="H16" i="1" s="1"/>
  <c r="F16" i="1"/>
</calcChain>
</file>

<file path=xl/sharedStrings.xml><?xml version="1.0" encoding="utf-8"?>
<sst xmlns="http://schemas.openxmlformats.org/spreadsheetml/2006/main" count="658" uniqueCount="230">
  <si>
    <t>POWER CURVE MEASUREMENTS (IEC 61400-12-1)</t>
  </si>
  <si>
    <t>Parameter</t>
  </si>
  <si>
    <t>Value</t>
  </si>
  <si>
    <t>Units</t>
  </si>
  <si>
    <t>Rho</t>
  </si>
  <si>
    <t>kg/m^3</t>
  </si>
  <si>
    <t>Cp</t>
  </si>
  <si>
    <t>Rotor Dia</t>
  </si>
  <si>
    <t>m</t>
  </si>
  <si>
    <t>Ct</t>
  </si>
  <si>
    <t>Swept Area</t>
  </si>
  <si>
    <t>m^2</t>
  </si>
  <si>
    <t>Cg</t>
  </si>
  <si>
    <t>-</t>
  </si>
  <si>
    <t>Overall efficiency</t>
  </si>
  <si>
    <t>Cut-in wind speed</t>
  </si>
  <si>
    <t>m/s</t>
  </si>
  <si>
    <t>Cut-out wind speed</t>
  </si>
  <si>
    <t>Cal. Rated speed</t>
  </si>
  <si>
    <t>windspeed (m/s)</t>
  </si>
  <si>
    <t xml:space="preserve">Max. Power (W) </t>
  </si>
  <si>
    <t>Cp*Power (W)</t>
  </si>
  <si>
    <t>Operating Power Curve</t>
  </si>
  <si>
    <t>P after trans. Losses</t>
  </si>
  <si>
    <t>Operating Curve for P after T</t>
  </si>
  <si>
    <t>P after generator losses</t>
  </si>
  <si>
    <t>POWER CURVE FOR VESTAS V90-2MW WIND TURBINE</t>
  </si>
  <si>
    <t>Windspeed (m/s)</t>
  </si>
  <si>
    <t>Power (KW)</t>
  </si>
  <si>
    <t>https://en.wind-turbine-models.com/turbines/16-vestas-v90#powercurve</t>
  </si>
  <si>
    <t>Noise Mode 0</t>
  </si>
  <si>
    <t>Noise Mode 1</t>
  </si>
  <si>
    <t>Noise Mode 2</t>
  </si>
  <si>
    <r>
      <t xml:space="preserve">Noise Mode </t>
    </r>
    <r>
      <rPr>
        <i/>
        <sz val="11"/>
        <color theme="1"/>
        <rFont val="Calibri"/>
        <family val="2"/>
        <scheme val="minor"/>
      </rPr>
      <t>3</t>
    </r>
  </si>
  <si>
    <t>TIP SPEED RATIO</t>
  </si>
  <si>
    <t>PITCH ANGLE VARIATION</t>
  </si>
  <si>
    <t>Rotor Radius</t>
  </si>
  <si>
    <t>Rated Speed</t>
  </si>
  <si>
    <t>rad/s</t>
  </si>
  <si>
    <t>Req Rotor rpm  (TSR=5.2)</t>
  </si>
  <si>
    <t>c1</t>
  </si>
  <si>
    <t>WindSpeed</t>
  </si>
  <si>
    <t>Actual TSR</t>
  </si>
  <si>
    <t>Limit/MaxTSR</t>
  </si>
  <si>
    <t>Rotor Speed</t>
  </si>
  <si>
    <t xml:space="preserve"> in rpm</t>
  </si>
  <si>
    <t>c2</t>
  </si>
  <si>
    <t>c3</t>
  </si>
  <si>
    <t>c4</t>
  </si>
  <si>
    <t>c5</t>
  </si>
  <si>
    <t>c6</t>
  </si>
  <si>
    <t>TSR</t>
  </si>
  <si>
    <t>Beta(Pitch)</t>
  </si>
  <si>
    <t>1/gamma</t>
  </si>
  <si>
    <t>Figure 1.was generated from the power curve data by using the almost constant w of 16.9 rpm for the Vestas V80. The maximum CP is nearly 0.44.</t>
  </si>
  <si>
    <t>r</t>
  </si>
  <si>
    <t>LSR at 13.5 m/s</t>
  </si>
  <si>
    <t>FLOW ANGLE CALCULATIONS AT RATED ROTOR SPEED  (NEGLECTING AXIAL AND ROTATIONAL INDUCTION FACTORS)</t>
  </si>
  <si>
    <t>Rated Rotor speed</t>
  </si>
  <si>
    <t>rpm</t>
  </si>
  <si>
    <t>rad/sec</t>
  </si>
  <si>
    <t>0.1R(4.5m)</t>
  </si>
  <si>
    <t>0.2R(9m)</t>
  </si>
  <si>
    <t>0.3R(13.5m)</t>
  </si>
  <si>
    <t>0.4R(18m)</t>
  </si>
  <si>
    <t>0.5R(22.5m)</t>
  </si>
  <si>
    <t>0.6R(27m)</t>
  </si>
  <si>
    <t>0.7R(31.5)</t>
  </si>
  <si>
    <t>0.8R(36m)</t>
  </si>
  <si>
    <t>0.9R(40.5)</t>
  </si>
  <si>
    <t>R(45)</t>
  </si>
  <si>
    <t>Flow angle in rad</t>
  </si>
  <si>
    <t>Flow angle in deg</t>
  </si>
  <si>
    <t>0.5*rho*v^2</t>
  </si>
  <si>
    <t>Initial conditions: Rated Speed = 13.5m/s</t>
  </si>
  <si>
    <t>Cl</t>
  </si>
  <si>
    <t>Cd</t>
  </si>
  <si>
    <t>Req. Torque @  Rated Rotor Speed</t>
  </si>
  <si>
    <t>Nm (For 3 blades)</t>
  </si>
  <si>
    <t>Nm (For 1 blade)</t>
  </si>
  <si>
    <t>Rated Rotor rpm</t>
  </si>
  <si>
    <t>from bem MATLAB CODE</t>
  </si>
  <si>
    <t>chord</t>
  </si>
  <si>
    <t>Twist</t>
  </si>
  <si>
    <t>Twist in rad</t>
  </si>
  <si>
    <t>Phi</t>
  </si>
  <si>
    <t>Phi in deg</t>
  </si>
  <si>
    <t>Lsin(Phi)</t>
  </si>
  <si>
    <t>Dcos(Phi)</t>
  </si>
  <si>
    <t>dT</t>
  </si>
  <si>
    <t>dQ</t>
  </si>
  <si>
    <t>AOA</t>
  </si>
  <si>
    <t>AOA in deg</t>
  </si>
  <si>
    <t>NaN</t>
  </si>
  <si>
    <t>Trapezoidal Rule</t>
  </si>
  <si>
    <t>Sum(y)</t>
  </si>
  <si>
    <t>Torque/ blade</t>
  </si>
  <si>
    <t>Nm</t>
  </si>
  <si>
    <t xml:space="preserve">Total Torque </t>
  </si>
  <si>
    <t>2..586</t>
  </si>
  <si>
    <t>CL</t>
  </si>
  <si>
    <t>Constant</t>
  </si>
  <si>
    <t>alpha</t>
  </si>
  <si>
    <t>Rated wind speed</t>
  </si>
  <si>
    <t>B</t>
  </si>
  <si>
    <t>0.5*rho</t>
  </si>
  <si>
    <t>r/R</t>
  </si>
  <si>
    <t>TSR*(r/R)</t>
  </si>
  <si>
    <t>acot</t>
  </si>
  <si>
    <t>sin</t>
  </si>
  <si>
    <t>sin^2</t>
  </si>
  <si>
    <t>Twist(deg)</t>
  </si>
  <si>
    <t>Flow angle</t>
  </si>
  <si>
    <t>FA deg</t>
  </si>
  <si>
    <t>L*sin(phi)</t>
  </si>
  <si>
    <t>D*cos(phi)</t>
  </si>
  <si>
    <t>Vb</t>
  </si>
  <si>
    <t>VR</t>
  </si>
  <si>
    <t>0.5*rho*vr^2</t>
  </si>
  <si>
    <t>R</t>
  </si>
  <si>
    <t>Cl design</t>
  </si>
  <si>
    <t>Note:</t>
  </si>
  <si>
    <t>ri is considered as Mid section radius in these calculations</t>
  </si>
  <si>
    <t>B/2</t>
  </si>
  <si>
    <t>rho</t>
  </si>
  <si>
    <t>Sl.No</t>
  </si>
  <si>
    <t>Midpoint ri</t>
  </si>
  <si>
    <t>FA(deg)</t>
  </si>
  <si>
    <t>F</t>
  </si>
  <si>
    <t>sigma</t>
  </si>
  <si>
    <t>Vr</t>
  </si>
  <si>
    <t>0.5*rho*Vr^2</t>
  </si>
  <si>
    <t>N/D</t>
  </si>
  <si>
    <t>exp()</t>
  </si>
  <si>
    <t>N</t>
  </si>
  <si>
    <t>D</t>
  </si>
  <si>
    <t>Note: ri is not considered as mid section radius here.</t>
  </si>
  <si>
    <t>A</t>
  </si>
  <si>
    <t>C</t>
  </si>
  <si>
    <t>9-(3*x^2)</t>
  </si>
  <si>
    <t>x^2-1</t>
  </si>
  <si>
    <t>LSR</t>
  </si>
  <si>
    <t>a</t>
  </si>
  <si>
    <t>adash</t>
  </si>
  <si>
    <t>V(1-a)</t>
  </si>
  <si>
    <t>Vb(1+adash)</t>
  </si>
  <si>
    <t>dFt</t>
  </si>
  <si>
    <t>a and adash calculated using cubic equation from Momentum Theory</t>
  </si>
  <si>
    <t xml:space="preserve">   </t>
  </si>
  <si>
    <t>Cn</t>
  </si>
  <si>
    <t>LOAD CALCULATIONS WITH CORRECTIONS from BEM Theory</t>
  </si>
  <si>
    <t>Total Torque for 3 blades</t>
  </si>
  <si>
    <t>Blade Length</t>
  </si>
  <si>
    <t>Max. chord</t>
  </si>
  <si>
    <t>AR</t>
  </si>
  <si>
    <t>R^2/S</t>
  </si>
  <si>
    <t>Cdo</t>
  </si>
  <si>
    <t>assumed</t>
  </si>
  <si>
    <t>k</t>
  </si>
  <si>
    <t>CD</t>
  </si>
  <si>
    <t>Sum</t>
  </si>
  <si>
    <t>Total torque</t>
  </si>
  <si>
    <t>Corrected</t>
  </si>
  <si>
    <t>Flow Angles</t>
  </si>
  <si>
    <t>NACA 418</t>
  </si>
  <si>
    <t>FFAW3 241</t>
  </si>
  <si>
    <t>NACA 415</t>
  </si>
  <si>
    <t>FFAW3 301</t>
  </si>
  <si>
    <t>11 to 15</t>
  </si>
  <si>
    <t>10 to 12</t>
  </si>
  <si>
    <t>Cylinder</t>
  </si>
  <si>
    <t>Aerofoil</t>
  </si>
  <si>
    <t>Max Cl</t>
  </si>
  <si>
    <t>Max Cd</t>
  </si>
  <si>
    <t>Twist.</t>
  </si>
  <si>
    <t>dL</t>
  </si>
  <si>
    <t>2/3*FA</t>
  </si>
  <si>
    <t>Obtained</t>
  </si>
  <si>
    <t>calculated</t>
  </si>
  <si>
    <t xml:space="preserve">MATLAB </t>
  </si>
  <si>
    <t>Input</t>
  </si>
  <si>
    <t>FA(rad)</t>
  </si>
  <si>
    <t>dD</t>
  </si>
  <si>
    <t>error in dL</t>
  </si>
  <si>
    <t>error in dD</t>
  </si>
  <si>
    <t>FA</t>
  </si>
  <si>
    <t>dD with cos</t>
  </si>
  <si>
    <t>Calculated/Expected</t>
  </si>
  <si>
    <t>Obtained from Matlab</t>
  </si>
  <si>
    <t>aerofoil AOA</t>
  </si>
  <si>
    <t>AOA with PA</t>
  </si>
  <si>
    <t>Pitch=5 deg</t>
  </si>
  <si>
    <t>Pitch=0 deg</t>
  </si>
  <si>
    <t>Pitch=0 deg (2/3FA)</t>
  </si>
  <si>
    <t>No. of Blades(B)</t>
  </si>
  <si>
    <t>exp</t>
  </si>
  <si>
    <t>D+1</t>
  </si>
  <si>
    <t>D-1</t>
  </si>
  <si>
    <t>a(prev)</t>
  </si>
  <si>
    <t>Axial Induction Factor</t>
  </si>
  <si>
    <t>Tangential Induction Factor</t>
  </si>
  <si>
    <t>ad(prev)</t>
  </si>
  <si>
    <t>Pitch(0)</t>
  </si>
  <si>
    <t>Pitch(1)</t>
  </si>
  <si>
    <t>Pitch(2)</t>
  </si>
  <si>
    <t>pitch(5)</t>
  </si>
  <si>
    <t>pitch(10)</t>
  </si>
  <si>
    <t>pitch(7)</t>
  </si>
  <si>
    <t>pitch(8)</t>
  </si>
  <si>
    <t>Pitch(3)</t>
  </si>
  <si>
    <t>Pitch(4)</t>
  </si>
  <si>
    <t>windspeed</t>
  </si>
  <si>
    <t>pitch(11)</t>
  </si>
  <si>
    <t>Pitch(9)</t>
  </si>
  <si>
    <t>pitch(12)</t>
  </si>
  <si>
    <t>pitch(13)</t>
  </si>
  <si>
    <t>pitch(14)</t>
  </si>
  <si>
    <t>pitch(15)</t>
  </si>
  <si>
    <t>pitch(16)</t>
  </si>
  <si>
    <t>pitch(17)</t>
  </si>
  <si>
    <t>pitch(18)</t>
  </si>
  <si>
    <t>pitch(19)</t>
  </si>
  <si>
    <t>pitch(20)</t>
  </si>
  <si>
    <t>pitch(21)</t>
  </si>
  <si>
    <t>Error</t>
  </si>
  <si>
    <t>Req. Torque</t>
  </si>
  <si>
    <t>V(1+adash)</t>
  </si>
  <si>
    <t>Twist-1</t>
  </si>
  <si>
    <t>Torque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</si>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</sst>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E+00"/>
    <numFmt numFmtId="169" formatCode="0.00000000000000"/>
    <numFmt numFmtId="170" formatCode="0.000000"/>
    <numFmt numFmtId="171" formatCode="0.000000000000000"/>
    <numFmt numFmtId="172" formatCode="0.0000000000000000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15" borderId="0" applyNumberFormat="0" applyBorder="0" applyAlignment="0" applyProtection="0"/>
  </cellStyleXfs>
  <cellXfs count="130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164" fontId="0" fillId="4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7" borderId="1" xfId="0" applyFont="1" applyFill="1" applyBorder="1"/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horizontal="right"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10" borderId="1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 vertical="center"/>
    </xf>
    <xf numFmtId="0" fontId="0" fillId="10" borderId="1" xfId="0" applyFill="1" applyBorder="1"/>
    <xf numFmtId="2" fontId="0" fillId="0" borderId="1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13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167" fontId="0" fillId="0" borderId="0" xfId="0" applyNumberFormat="1"/>
    <xf numFmtId="0" fontId="4" fillId="0" borderId="0" xfId="0" applyFont="1"/>
    <xf numFmtId="0" fontId="0" fillId="2" borderId="0" xfId="0" applyFill="1" applyBorder="1"/>
    <xf numFmtId="0" fontId="0" fillId="1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/>
    <xf numFmtId="2" fontId="0" fillId="16" borderId="1" xfId="0" applyNumberFormat="1" applyFill="1" applyBorder="1" applyAlignment="1">
      <alignment horizontal="center" vertical="center"/>
    </xf>
    <xf numFmtId="0" fontId="0" fillId="13" borderId="0" xfId="0" applyFill="1" applyAlignment="1">
      <alignment horizontal="left"/>
    </xf>
    <xf numFmtId="165" fontId="0" fillId="0" borderId="0" xfId="0" applyNumberFormat="1"/>
    <xf numFmtId="168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12" borderId="1" xfId="0" applyFill="1" applyBorder="1"/>
    <xf numFmtId="0" fontId="0" fillId="6" borderId="1" xfId="0" applyFill="1" applyBorder="1" applyAlignment="1">
      <alignment horizontal="center" vertical="center"/>
    </xf>
    <xf numFmtId="169" fontId="0" fillId="0" borderId="0" xfId="0" applyNumberFormat="1"/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 applyAlignment="1">
      <alignment vertical="center"/>
    </xf>
    <xf numFmtId="2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0" borderId="0" xfId="0" applyFill="1"/>
    <xf numFmtId="17" fontId="0" fillId="0" borderId="0" xfId="0" applyNumberFormat="1"/>
    <xf numFmtId="16" fontId="0" fillId="0" borderId="0" xfId="0" applyNumberFormat="1"/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0" fillId="19" borderId="0" xfId="0" applyFill="1"/>
    <xf numFmtId="2" fontId="0" fillId="0" borderId="0" xfId="0" applyNumberFormat="1" applyBorder="1" applyAlignment="1">
      <alignment horizontal="center" vertical="center"/>
    </xf>
    <xf numFmtId="0" fontId="0" fillId="20" borderId="0" xfId="0" applyFill="1"/>
    <xf numFmtId="171" fontId="0" fillId="17" borderId="0" xfId="0" applyNumberFormat="1" applyFill="1"/>
    <xf numFmtId="171" fontId="0" fillId="12" borderId="0" xfId="0" applyNumberFormat="1" applyFill="1"/>
    <xf numFmtId="166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2" fontId="0" fillId="0" borderId="0" xfId="0" applyNumberFormat="1"/>
    <xf numFmtId="0" fontId="0" fillId="0" borderId="0" xfId="0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9" borderId="0" xfId="0" applyFill="1"/>
    <xf numFmtId="0" fontId="0" fillId="17" borderId="1" xfId="0" applyFill="1" applyBorder="1"/>
    <xf numFmtId="0" fontId="0" fillId="13" borderId="0" xfId="0" applyFill="1" applyBorder="1"/>
    <xf numFmtId="0" fontId="0" fillId="13" borderId="14" xfId="0" applyFill="1" applyBorder="1" applyAlignment="1"/>
    <xf numFmtId="0" fontId="0" fillId="12" borderId="1" xfId="0" applyFill="1" applyBorder="1" applyAlignment="1"/>
    <xf numFmtId="0" fontId="0" fillId="17" borderId="0" xfId="0" applyFill="1"/>
    <xf numFmtId="0" fontId="1" fillId="6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14" borderId="1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13" borderId="0" xfId="0" applyFill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7" fillId="15" borderId="0" xfId="1" applyFont="1" applyAlignment="1">
      <alignment horizontal="center"/>
    </xf>
    <xf numFmtId="0" fontId="0" fillId="1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8937007874015"/>
          <c:y val="0.15138775510204081"/>
          <c:w val="0.73507064741907258"/>
          <c:h val="0.73268037923830953"/>
        </c:manualLayout>
      </c:layout>
      <c:lineChart>
        <c:grouping val="standard"/>
        <c:varyColors val="0"/>
        <c:ser>
          <c:idx val="0"/>
          <c:order val="0"/>
          <c:tx>
            <c:v>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Sheet1!$A$13:$A$34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Sheet1!$D$13:$D$34</c:f>
              <c:numCache>
                <c:formatCode>0.0</c:formatCode>
                <c:ptCount val="22"/>
                <c:pt idx="0">
                  <c:v>104739.44231394</c:v>
                </c:pt>
                <c:pt idx="1">
                  <c:v>204569.2232694141</c:v>
                </c:pt>
                <c:pt idx="2">
                  <c:v>353495.61780954746</c:v>
                </c:pt>
                <c:pt idx="3">
                  <c:v>561337.94865127211</c:v>
                </c:pt>
                <c:pt idx="4">
                  <c:v>837915.53851152002</c:v>
                </c:pt>
                <c:pt idx="5">
                  <c:v>1193047.7101072229</c:v>
                </c:pt>
                <c:pt idx="6">
                  <c:v>1636553.7861553128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2000000</c:v>
                </c:pt>
                <c:pt idx="18">
                  <c:v>2000000</c:v>
                </c:pt>
                <c:pt idx="19">
                  <c:v>2000000</c:v>
                </c:pt>
                <c:pt idx="20">
                  <c:v>2000000</c:v>
                </c:pt>
                <c:pt idx="2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7-49EF-9831-837DC9DB1BF3}"/>
            </c:ext>
          </c:extLst>
        </c:ser>
        <c:ser>
          <c:idx val="1"/>
          <c:order val="1"/>
          <c:tx>
            <c:v>P after Trans. 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Sheet1!$F$13:$F$34</c:f>
              <c:numCache>
                <c:formatCode>General</c:formatCode>
                <c:ptCount val="22"/>
                <c:pt idx="0">
                  <c:v>87562.17377445384</c:v>
                </c:pt>
                <c:pt idx="1">
                  <c:v>171019.87065323017</c:v>
                </c:pt>
                <c:pt idx="2">
                  <c:v>295522.33648878167</c:v>
                </c:pt>
                <c:pt idx="3">
                  <c:v>469278.52507246344</c:v>
                </c:pt>
                <c:pt idx="4">
                  <c:v>700497.39019563072</c:v>
                </c:pt>
                <c:pt idx="5">
                  <c:v>997387.88564963825</c:v>
                </c:pt>
                <c:pt idx="6">
                  <c:v>1368158.9652258414</c:v>
                </c:pt>
                <c:pt idx="7">
                  <c:v>1821019.5827155947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2000000</c:v>
                </c:pt>
                <c:pt idx="18">
                  <c:v>2000000</c:v>
                </c:pt>
                <c:pt idx="19">
                  <c:v>2000000</c:v>
                </c:pt>
                <c:pt idx="20">
                  <c:v>2000000</c:v>
                </c:pt>
                <c:pt idx="2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B-42D7-9744-BC4FA3EE42EC}"/>
            </c:ext>
          </c:extLst>
        </c:ser>
        <c:ser>
          <c:idx val="2"/>
          <c:order val="2"/>
          <c:tx>
            <c:v>P after generator losses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Sheet1!$H$13:$H$34</c:f>
              <c:numCache>
                <c:formatCode>General</c:formatCode>
                <c:ptCount val="22"/>
                <c:pt idx="0">
                  <c:v>84935.308561220227</c:v>
                </c:pt>
                <c:pt idx="1">
                  <c:v>165889.27453363326</c:v>
                </c:pt>
                <c:pt idx="2">
                  <c:v>286656.66639411822</c:v>
                </c:pt>
                <c:pt idx="3">
                  <c:v>455200.16932028951</c:v>
                </c:pt>
                <c:pt idx="4">
                  <c:v>679482.46848976181</c:v>
                </c:pt>
                <c:pt idx="5">
                  <c:v>967466.24908014911</c:v>
                </c:pt>
                <c:pt idx="6">
                  <c:v>1327114.1962690661</c:v>
                </c:pt>
                <c:pt idx="7">
                  <c:v>1766388.9952341267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2000000</c:v>
                </c:pt>
                <c:pt idx="18">
                  <c:v>2000000</c:v>
                </c:pt>
                <c:pt idx="19">
                  <c:v>2000000</c:v>
                </c:pt>
                <c:pt idx="20">
                  <c:v>2000000</c:v>
                </c:pt>
                <c:pt idx="2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B-42D7-9744-BC4FA3EE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08016"/>
        <c:axId val="783208976"/>
      </c:lineChart>
      <c:catAx>
        <c:axId val="78320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Wind</a:t>
                </a:r>
                <a:r>
                  <a:rPr lang="en-IN" baseline="0"/>
                  <a:t> Speed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08976"/>
        <c:crosses val="autoZero"/>
        <c:auto val="1"/>
        <c:lblAlgn val="ctr"/>
        <c:lblOffset val="100"/>
        <c:noMultiLvlLbl val="0"/>
      </c:catAx>
      <c:valAx>
        <c:axId val="7832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 in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9335083114607"/>
          <c:y val="0.37645829985537521"/>
          <c:w val="0.24880664916885389"/>
          <c:h val="0.41071573196207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 corrections'!$D$12:$D$36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'with corrections'!$AF$12:$AF$36</c:f>
              <c:numCache>
                <c:formatCode>General</c:formatCode>
                <c:ptCount val="25"/>
                <c:pt idx="0">
                  <c:v>4893.6910912884277</c:v>
                </c:pt>
                <c:pt idx="1">
                  <c:v>14316.616181010893</c:v>
                </c:pt>
                <c:pt idx="2">
                  <c:v>24702.41614042646</c:v>
                </c:pt>
                <c:pt idx="3">
                  <c:v>35193.121147396443</c:v>
                </c:pt>
                <c:pt idx="4">
                  <c:v>45672.609794664015</c:v>
                </c:pt>
                <c:pt idx="5">
                  <c:v>56146.389454388067</c:v>
                </c:pt>
                <c:pt idx="6">
                  <c:v>66614.710656529685</c:v>
                </c:pt>
                <c:pt idx="7">
                  <c:v>77064.917156929514</c:v>
                </c:pt>
                <c:pt idx="8">
                  <c:v>87479.042391568888</c:v>
                </c:pt>
                <c:pt idx="9">
                  <c:v>97838.090226582746</c:v>
                </c:pt>
                <c:pt idx="10">
                  <c:v>108122.51373292635</c:v>
                </c:pt>
                <c:pt idx="11">
                  <c:v>118310.16327134776</c:v>
                </c:pt>
                <c:pt idx="12">
                  <c:v>128372.08723862721</c:v>
                </c:pt>
                <c:pt idx="13">
                  <c:v>138265.56637801896</c:v>
                </c:pt>
                <c:pt idx="14">
                  <c:v>147922.75136496851</c:v>
                </c:pt>
                <c:pt idx="15">
                  <c:v>157231.95022229169</c:v>
                </c:pt>
                <c:pt idx="16">
                  <c:v>166006.56049362649</c:v>
                </c:pt>
                <c:pt idx="17">
                  <c:v>173933.23221868422</c:v>
                </c:pt>
                <c:pt idx="18">
                  <c:v>180484.90262578259</c:v>
                </c:pt>
                <c:pt idx="19">
                  <c:v>184773.06196245164</c:v>
                </c:pt>
                <c:pt idx="20">
                  <c:v>185288.37217561578</c:v>
                </c:pt>
                <c:pt idx="21">
                  <c:v>179405.87791706165</c:v>
                </c:pt>
                <c:pt idx="22">
                  <c:v>162243.38402604021</c:v>
                </c:pt>
                <c:pt idx="23">
                  <c:v>122726.91824088259</c:v>
                </c:pt>
                <c:pt idx="24">
                  <c:v>-29724.904560507966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4FA7-A2D9-277AFE73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04448"/>
        <c:axId val="746603136"/>
      </c:lineChart>
      <c:catAx>
        <c:axId val="7466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03136"/>
        <c:crosses val="autoZero"/>
        <c:auto val="1"/>
        <c:lblAlgn val="ctr"/>
        <c:lblOffset val="100"/>
        <c:noMultiLvlLbl val="0"/>
      </c:catAx>
      <c:valAx>
        <c:axId val="74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 corrections'!$D$58:$D$82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'with corrections'!$M$58:$M$82</c:f>
              <c:numCache>
                <c:formatCode>0.00</c:formatCode>
                <c:ptCount val="25"/>
                <c:pt idx="0">
                  <c:v>3.6517906883587288</c:v>
                </c:pt>
                <c:pt idx="1">
                  <c:v>4.4251965334641685</c:v>
                </c:pt>
                <c:pt idx="2">
                  <c:v>4.5554641114260352</c:v>
                </c:pt>
                <c:pt idx="3">
                  <c:v>4.3567224623844165</c:v>
                </c:pt>
                <c:pt idx="4">
                  <c:v>4.0316811742555716</c:v>
                </c:pt>
                <c:pt idx="5">
                  <c:v>3.6820125023298784</c:v>
                </c:pt>
                <c:pt idx="6">
                  <c:v>3.3509989952349413</c:v>
                </c:pt>
                <c:pt idx="7">
                  <c:v>3.0535044316793067</c:v>
                </c:pt>
                <c:pt idx="8">
                  <c:v>2.7919363473478369</c:v>
                </c:pt>
                <c:pt idx="9">
                  <c:v>2.5638067136176081</c:v>
                </c:pt>
                <c:pt idx="10">
                  <c:v>2.3650817199057439</c:v>
                </c:pt>
                <c:pt idx="11">
                  <c:v>2.1915769796084459</c:v>
                </c:pt>
                <c:pt idx="12">
                  <c:v>2.039482019795571</c:v>
                </c:pt>
                <c:pt idx="13">
                  <c:v>1.9055104310628246</c:v>
                </c:pt>
                <c:pt idx="14">
                  <c:v>1.7868977075456098</c:v>
                </c:pt>
                <c:pt idx="15">
                  <c:v>1.6813442038801714</c:v>
                </c:pt>
                <c:pt idx="16">
                  <c:v>1.5869447156704022</c:v>
                </c:pt>
                <c:pt idx="17">
                  <c:v>1.502121350121068</c:v>
                </c:pt>
                <c:pt idx="18">
                  <c:v>1.4255655786422683</c:v>
                </c:pt>
                <c:pt idx="19">
                  <c:v>1.3561910915745738</c:v>
                </c:pt>
                <c:pt idx="20">
                  <c:v>1.293098313262685</c:v>
                </c:pt>
                <c:pt idx="21">
                  <c:v>1.2355547267855744</c:v>
                </c:pt>
                <c:pt idx="22">
                  <c:v>1.1830142831723116</c:v>
                </c:pt>
                <c:pt idx="23">
                  <c:v>1.1353617821976512</c:v>
                </c:pt>
                <c:pt idx="24">
                  <c:v>1.0886318856675588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1-4912-BF1D-879DB453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91672"/>
        <c:axId val="646992000"/>
      </c:lineChart>
      <c:catAx>
        <c:axId val="6469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2000"/>
        <c:crosses val="autoZero"/>
        <c:auto val="1"/>
        <c:lblAlgn val="ctr"/>
        <c:lblOffset val="100"/>
        <c:noMultiLvlLbl val="0"/>
      </c:catAx>
      <c:valAx>
        <c:axId val="64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 corrections'!$D$58:$D$82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'with corrections'!$T$58:$T$82</c:f>
              <c:numCache>
                <c:formatCode>0.00</c:formatCode>
                <c:ptCount val="25"/>
                <c:pt idx="0">
                  <c:v>1.8429649878532055</c:v>
                </c:pt>
                <c:pt idx="1">
                  <c:v>2.4469247018650457</c:v>
                </c:pt>
                <c:pt idx="2">
                  <c:v>2.654235574497084</c:v>
                </c:pt>
                <c:pt idx="3">
                  <c:v>2.7569315102576186</c:v>
                </c:pt>
                <c:pt idx="4">
                  <c:v>2.8211225875208608</c:v>
                </c:pt>
                <c:pt idx="5">
                  <c:v>2.8671469610587477</c:v>
                </c:pt>
                <c:pt idx="6">
                  <c:v>2.9027819553507781</c:v>
                </c:pt>
                <c:pt idx="7">
                  <c:v>2.9316163526284198</c:v>
                </c:pt>
                <c:pt idx="8">
                  <c:v>2.955592555360302</c:v>
                </c:pt>
                <c:pt idx="9">
                  <c:v>2.9758974377285923</c:v>
                </c:pt>
                <c:pt idx="10">
                  <c:v>2.9933166799899578</c:v>
                </c:pt>
                <c:pt idx="11">
                  <c:v>3.0083904429349113</c:v>
                </c:pt>
                <c:pt idx="12">
                  <c:v>3.0214819391832139</c:v>
                </c:pt>
                <c:pt idx="13">
                  <c:v>3.0327946573004949</c:v>
                </c:pt>
                <c:pt idx="14">
                  <c:v>3.0423410481689053</c:v>
                </c:pt>
                <c:pt idx="15">
                  <c:v>3.0498405424828081</c:v>
                </c:pt>
                <c:pt idx="16">
                  <c:v>3.054490298178469</c:v>
                </c:pt>
                <c:pt idx="17">
                  <c:v>3.0544894049678799</c:v>
                </c:pt>
                <c:pt idx="18">
                  <c:v>3.0460743955614253</c:v>
                </c:pt>
                <c:pt idx="19">
                  <c:v>3.0215768815803554</c:v>
                </c:pt>
                <c:pt idx="20">
                  <c:v>2.9654998968809378</c:v>
                </c:pt>
                <c:pt idx="21">
                  <c:v>2.8464119779310941</c:v>
                </c:pt>
                <c:pt idx="22">
                  <c:v>2.598621023071781</c:v>
                </c:pt>
                <c:pt idx="23">
                  <c:v>2.0650909662822685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4DB1-8412-5BFF08C2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046096"/>
        <c:axId val="842046424"/>
      </c:lineChart>
      <c:catAx>
        <c:axId val="8420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46424"/>
        <c:crosses val="autoZero"/>
        <c:auto val="1"/>
        <c:lblAlgn val="ctr"/>
        <c:lblOffset val="100"/>
        <c:noMultiLvlLbl val="0"/>
      </c:catAx>
      <c:valAx>
        <c:axId val="8420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Power Curve - V90 2MW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4359921996461"/>
          <c:y val="4.8402432291014034E-2"/>
          <c:w val="0.86274828445826424"/>
          <c:h val="0.81663062189242464"/>
        </c:manualLayout>
      </c:layout>
      <c:lineChart>
        <c:grouping val="standard"/>
        <c:varyColors val="0"/>
        <c:ser>
          <c:idx val="0"/>
          <c:order val="0"/>
          <c:tx>
            <c:v>Noise mode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Sheet2!$A$5:$A$47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Sheet2!$B$5:$B$47</c:f>
              <c:numCache>
                <c:formatCode>General</c:formatCode>
                <c:ptCount val="43"/>
                <c:pt idx="0">
                  <c:v>89</c:v>
                </c:pt>
                <c:pt idx="1">
                  <c:v>142</c:v>
                </c:pt>
                <c:pt idx="2">
                  <c:v>204</c:v>
                </c:pt>
                <c:pt idx="3">
                  <c:v>279</c:v>
                </c:pt>
                <c:pt idx="4">
                  <c:v>368</c:v>
                </c:pt>
                <c:pt idx="5">
                  <c:v>470</c:v>
                </c:pt>
                <c:pt idx="6">
                  <c:v>594</c:v>
                </c:pt>
                <c:pt idx="7">
                  <c:v>736</c:v>
                </c:pt>
                <c:pt idx="8">
                  <c:v>896</c:v>
                </c:pt>
                <c:pt idx="9">
                  <c:v>1069</c:v>
                </c:pt>
                <c:pt idx="10">
                  <c:v>1247</c:v>
                </c:pt>
                <c:pt idx="11">
                  <c:v>1428</c:v>
                </c:pt>
                <c:pt idx="12">
                  <c:v>1599</c:v>
                </c:pt>
                <c:pt idx="13">
                  <c:v>1753</c:v>
                </c:pt>
                <c:pt idx="14">
                  <c:v>1881</c:v>
                </c:pt>
                <c:pt idx="15">
                  <c:v>1951</c:v>
                </c:pt>
                <c:pt idx="16">
                  <c:v>1981</c:v>
                </c:pt>
                <c:pt idx="17">
                  <c:v>1994</c:v>
                </c:pt>
                <c:pt idx="18">
                  <c:v>1998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B-46B8-B6E4-C4E65589E544}"/>
            </c:ext>
          </c:extLst>
        </c:ser>
        <c:ser>
          <c:idx val="1"/>
          <c:order val="1"/>
          <c:tx>
            <c:v>Noise Mode1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Sheet2!$C$5:$C$47</c:f>
              <c:numCache>
                <c:formatCode>General</c:formatCode>
                <c:ptCount val="43"/>
                <c:pt idx="0">
                  <c:v>89</c:v>
                </c:pt>
                <c:pt idx="1">
                  <c:v>142</c:v>
                </c:pt>
                <c:pt idx="2">
                  <c:v>204</c:v>
                </c:pt>
                <c:pt idx="3">
                  <c:v>278</c:v>
                </c:pt>
                <c:pt idx="4">
                  <c:v>367</c:v>
                </c:pt>
                <c:pt idx="5">
                  <c:v>470</c:v>
                </c:pt>
                <c:pt idx="6">
                  <c:v>594</c:v>
                </c:pt>
                <c:pt idx="7">
                  <c:v>736</c:v>
                </c:pt>
                <c:pt idx="8">
                  <c:v>895</c:v>
                </c:pt>
                <c:pt idx="9">
                  <c:v>1063</c:v>
                </c:pt>
                <c:pt idx="10">
                  <c:v>1233</c:v>
                </c:pt>
                <c:pt idx="11">
                  <c:v>1401</c:v>
                </c:pt>
                <c:pt idx="12">
                  <c:v>1561</c:v>
                </c:pt>
                <c:pt idx="13">
                  <c:v>1710</c:v>
                </c:pt>
                <c:pt idx="14">
                  <c:v>1842</c:v>
                </c:pt>
                <c:pt idx="15">
                  <c:v>1928</c:v>
                </c:pt>
                <c:pt idx="16">
                  <c:v>1971</c:v>
                </c:pt>
                <c:pt idx="17">
                  <c:v>1989</c:v>
                </c:pt>
                <c:pt idx="18">
                  <c:v>1996</c:v>
                </c:pt>
                <c:pt idx="19">
                  <c:v>1999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B-46B8-B6E4-C4E65589E544}"/>
            </c:ext>
          </c:extLst>
        </c:ser>
        <c:ser>
          <c:idx val="2"/>
          <c:order val="2"/>
          <c:tx>
            <c:v>NoiseMode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Sheet2!$D$5:$D$47</c:f>
              <c:numCache>
                <c:formatCode>General</c:formatCode>
                <c:ptCount val="43"/>
                <c:pt idx="0">
                  <c:v>89</c:v>
                </c:pt>
                <c:pt idx="1">
                  <c:v>142</c:v>
                </c:pt>
                <c:pt idx="2">
                  <c:v>204</c:v>
                </c:pt>
                <c:pt idx="3">
                  <c:v>278</c:v>
                </c:pt>
                <c:pt idx="4">
                  <c:v>368</c:v>
                </c:pt>
                <c:pt idx="5">
                  <c:v>470</c:v>
                </c:pt>
                <c:pt idx="6">
                  <c:v>594</c:v>
                </c:pt>
                <c:pt idx="7">
                  <c:v>732</c:v>
                </c:pt>
                <c:pt idx="8">
                  <c:v>874</c:v>
                </c:pt>
                <c:pt idx="9">
                  <c:v>1014</c:v>
                </c:pt>
                <c:pt idx="10">
                  <c:v>1150</c:v>
                </c:pt>
                <c:pt idx="11">
                  <c:v>1284</c:v>
                </c:pt>
                <c:pt idx="12">
                  <c:v>1413</c:v>
                </c:pt>
                <c:pt idx="13">
                  <c:v>1539</c:v>
                </c:pt>
                <c:pt idx="14">
                  <c:v>1662</c:v>
                </c:pt>
                <c:pt idx="15">
                  <c:v>1768</c:v>
                </c:pt>
                <c:pt idx="16">
                  <c:v>1849</c:v>
                </c:pt>
                <c:pt idx="17">
                  <c:v>1899</c:v>
                </c:pt>
                <c:pt idx="18">
                  <c:v>1927</c:v>
                </c:pt>
                <c:pt idx="19">
                  <c:v>1944</c:v>
                </c:pt>
                <c:pt idx="20">
                  <c:v>1955</c:v>
                </c:pt>
                <c:pt idx="21">
                  <c:v>1963</c:v>
                </c:pt>
                <c:pt idx="22">
                  <c:v>1973</c:v>
                </c:pt>
                <c:pt idx="23">
                  <c:v>1980</c:v>
                </c:pt>
                <c:pt idx="24">
                  <c:v>1987</c:v>
                </c:pt>
                <c:pt idx="25">
                  <c:v>1992</c:v>
                </c:pt>
                <c:pt idx="26">
                  <c:v>1995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B-46B8-B6E4-C4E65589E544}"/>
            </c:ext>
          </c:extLst>
        </c:ser>
        <c:ser>
          <c:idx val="3"/>
          <c:order val="3"/>
          <c:tx>
            <c:v>Noise Mode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Sheet2!$E$5:$E$47</c:f>
              <c:numCache>
                <c:formatCode>General</c:formatCode>
                <c:ptCount val="43"/>
                <c:pt idx="0">
                  <c:v>89</c:v>
                </c:pt>
                <c:pt idx="1">
                  <c:v>142</c:v>
                </c:pt>
                <c:pt idx="2">
                  <c:v>203</c:v>
                </c:pt>
                <c:pt idx="3">
                  <c:v>276</c:v>
                </c:pt>
                <c:pt idx="4">
                  <c:v>363</c:v>
                </c:pt>
                <c:pt idx="5">
                  <c:v>469</c:v>
                </c:pt>
                <c:pt idx="6">
                  <c:v>591</c:v>
                </c:pt>
                <c:pt idx="7">
                  <c:v>730</c:v>
                </c:pt>
                <c:pt idx="8">
                  <c:v>884</c:v>
                </c:pt>
                <c:pt idx="9">
                  <c:v>1049</c:v>
                </c:pt>
                <c:pt idx="10">
                  <c:v>1224</c:v>
                </c:pt>
                <c:pt idx="11">
                  <c:v>1407</c:v>
                </c:pt>
                <c:pt idx="12">
                  <c:v>1583</c:v>
                </c:pt>
                <c:pt idx="13">
                  <c:v>1743</c:v>
                </c:pt>
                <c:pt idx="14">
                  <c:v>1876</c:v>
                </c:pt>
                <c:pt idx="15">
                  <c:v>1949</c:v>
                </c:pt>
                <c:pt idx="16">
                  <c:v>1980</c:v>
                </c:pt>
                <c:pt idx="17">
                  <c:v>1993</c:v>
                </c:pt>
                <c:pt idx="18">
                  <c:v>1998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B-46B8-B6E4-C4E65589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02384"/>
        <c:axId val="515009424"/>
      </c:lineChart>
      <c:catAx>
        <c:axId val="5150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9424"/>
        <c:crosses val="autoZero"/>
        <c:auto val="1"/>
        <c:lblAlgn val="ctr"/>
        <c:lblOffset val="100"/>
        <c:noMultiLvlLbl val="0"/>
      </c:catAx>
      <c:valAx>
        <c:axId val="515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 vs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372052673697"/>
          <c:y val="0.1396318143467833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Noise Mode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Sheet2!$A$5:$A$47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Sheet2!$G$5:$G$47</c:f>
              <c:numCache>
                <c:formatCode>General</c:formatCode>
                <c:ptCount val="43"/>
                <c:pt idx="0">
                  <c:v>0.83799999999999997</c:v>
                </c:pt>
                <c:pt idx="1">
                  <c:v>0.81899999999999995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0.80400000000000005</c:v>
                </c:pt>
                <c:pt idx="5">
                  <c:v>0.80700000000000005</c:v>
                </c:pt>
                <c:pt idx="6">
                  <c:v>0.80700000000000005</c:v>
                </c:pt>
                <c:pt idx="7">
                  <c:v>0.80100000000000005</c:v>
                </c:pt>
                <c:pt idx="8">
                  <c:v>0.78400000000000003</c:v>
                </c:pt>
                <c:pt idx="9">
                  <c:v>0.755</c:v>
                </c:pt>
                <c:pt idx="10">
                  <c:v>0.71699999999999997</c:v>
                </c:pt>
                <c:pt idx="11">
                  <c:v>0.67400000000000004</c:v>
                </c:pt>
                <c:pt idx="12">
                  <c:v>0.628</c:v>
                </c:pt>
                <c:pt idx="13">
                  <c:v>0.57799999999999996</c:v>
                </c:pt>
                <c:pt idx="14">
                  <c:v>0.52500000000000002</c:v>
                </c:pt>
                <c:pt idx="15">
                  <c:v>0.46300000000000002</c:v>
                </c:pt>
                <c:pt idx="16">
                  <c:v>0.40200000000000002</c:v>
                </c:pt>
                <c:pt idx="17">
                  <c:v>0.34899999999999998</c:v>
                </c:pt>
                <c:pt idx="18">
                  <c:v>0.30599999999999999</c:v>
                </c:pt>
                <c:pt idx="19">
                  <c:v>0.27</c:v>
                </c:pt>
                <c:pt idx="20">
                  <c:v>0.23899999999999999</c:v>
                </c:pt>
                <c:pt idx="21">
                  <c:v>0.214</c:v>
                </c:pt>
                <c:pt idx="22">
                  <c:v>0.192</c:v>
                </c:pt>
                <c:pt idx="23">
                  <c:v>0.17299999999999999</c:v>
                </c:pt>
                <c:pt idx="24">
                  <c:v>0.157</c:v>
                </c:pt>
                <c:pt idx="25">
                  <c:v>0.14299999999999999</c:v>
                </c:pt>
                <c:pt idx="26">
                  <c:v>0.13100000000000001</c:v>
                </c:pt>
                <c:pt idx="27">
                  <c:v>0.11899999999999999</c:v>
                </c:pt>
                <c:pt idx="28">
                  <c:v>0.11</c:v>
                </c:pt>
                <c:pt idx="29">
                  <c:v>0.10100000000000001</c:v>
                </c:pt>
                <c:pt idx="30">
                  <c:v>9.4E-2</c:v>
                </c:pt>
                <c:pt idx="31">
                  <c:v>8.6999999999999994E-2</c:v>
                </c:pt>
                <c:pt idx="32">
                  <c:v>8.1000000000000003E-2</c:v>
                </c:pt>
                <c:pt idx="33">
                  <c:v>7.4999999999999997E-2</c:v>
                </c:pt>
                <c:pt idx="34">
                  <c:v>7.0000000000000007E-2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5.8000000000000003E-2</c:v>
                </c:pt>
                <c:pt idx="38">
                  <c:v>5.3999999999999999E-2</c:v>
                </c:pt>
                <c:pt idx="39">
                  <c:v>5.0999999999999997E-2</c:v>
                </c:pt>
                <c:pt idx="40">
                  <c:v>4.8000000000000001E-2</c:v>
                </c:pt>
                <c:pt idx="41">
                  <c:v>4.4999999999999998E-2</c:v>
                </c:pt>
                <c:pt idx="42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2-4582-9E74-61B25502CEE3}"/>
            </c:ext>
          </c:extLst>
        </c:ser>
        <c:ser>
          <c:idx val="1"/>
          <c:order val="1"/>
          <c:tx>
            <c:v>Noise Mode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Sheet2!$A$5:$A$47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Sheet2!$H$5:$H$47</c:f>
              <c:numCache>
                <c:formatCode>General</c:formatCode>
                <c:ptCount val="43"/>
                <c:pt idx="0">
                  <c:v>0.83799999999999997</c:v>
                </c:pt>
                <c:pt idx="1">
                  <c:v>0.81699999999999995</c:v>
                </c:pt>
                <c:pt idx="2">
                  <c:v>0.80600000000000005</c:v>
                </c:pt>
                <c:pt idx="3">
                  <c:v>0.80100000000000005</c:v>
                </c:pt>
                <c:pt idx="4">
                  <c:v>0.80100000000000005</c:v>
                </c:pt>
                <c:pt idx="5">
                  <c:v>0.80400000000000005</c:v>
                </c:pt>
                <c:pt idx="6">
                  <c:v>0.80200000000000005</c:v>
                </c:pt>
                <c:pt idx="7">
                  <c:v>0.79300000000000004</c:v>
                </c:pt>
                <c:pt idx="8">
                  <c:v>0.77300000000000002</c:v>
                </c:pt>
                <c:pt idx="9">
                  <c:v>0.74</c:v>
                </c:pt>
                <c:pt idx="10">
                  <c:v>0.69699999999999995</c:v>
                </c:pt>
                <c:pt idx="11">
                  <c:v>0.64900000000000002</c:v>
                </c:pt>
                <c:pt idx="12">
                  <c:v>0.60099999999999998</c:v>
                </c:pt>
                <c:pt idx="13">
                  <c:v>0.55400000000000005</c:v>
                </c:pt>
                <c:pt idx="14">
                  <c:v>0.50700000000000001</c:v>
                </c:pt>
                <c:pt idx="15">
                  <c:v>0.45300000000000001</c:v>
                </c:pt>
                <c:pt idx="16">
                  <c:v>0.39800000000000002</c:v>
                </c:pt>
                <c:pt idx="17">
                  <c:v>0.34799999999999998</c:v>
                </c:pt>
                <c:pt idx="18">
                  <c:v>0.30499999999999999</c:v>
                </c:pt>
                <c:pt idx="19">
                  <c:v>0.27</c:v>
                </c:pt>
                <c:pt idx="20">
                  <c:v>0.23899999999999999</c:v>
                </c:pt>
                <c:pt idx="21">
                  <c:v>0.214</c:v>
                </c:pt>
                <c:pt idx="22">
                  <c:v>0.192</c:v>
                </c:pt>
                <c:pt idx="23">
                  <c:v>0.17299999999999999</c:v>
                </c:pt>
                <c:pt idx="24">
                  <c:v>0.157</c:v>
                </c:pt>
                <c:pt idx="25">
                  <c:v>0.14299999999999999</c:v>
                </c:pt>
                <c:pt idx="26">
                  <c:v>0.13100000000000001</c:v>
                </c:pt>
                <c:pt idx="27">
                  <c:v>0.11899999999999999</c:v>
                </c:pt>
                <c:pt idx="28">
                  <c:v>0.11</c:v>
                </c:pt>
                <c:pt idx="29">
                  <c:v>0.10100000000000001</c:v>
                </c:pt>
                <c:pt idx="30">
                  <c:v>9.4E-2</c:v>
                </c:pt>
                <c:pt idx="31">
                  <c:v>8.6999999999999994E-2</c:v>
                </c:pt>
                <c:pt idx="32">
                  <c:v>8.1000000000000003E-2</c:v>
                </c:pt>
                <c:pt idx="33">
                  <c:v>7.4999999999999997E-2</c:v>
                </c:pt>
                <c:pt idx="34">
                  <c:v>7.0000000000000007E-2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5.8000000000000003E-2</c:v>
                </c:pt>
                <c:pt idx="38">
                  <c:v>5.5E-2</c:v>
                </c:pt>
                <c:pt idx="39">
                  <c:v>5.0999999999999997E-2</c:v>
                </c:pt>
                <c:pt idx="40">
                  <c:v>4.8000000000000001E-2</c:v>
                </c:pt>
                <c:pt idx="41">
                  <c:v>4.4999999999999998E-2</c:v>
                </c:pt>
                <c:pt idx="42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2-4582-9E74-61B25502CEE3}"/>
            </c:ext>
          </c:extLst>
        </c:ser>
        <c:ser>
          <c:idx val="2"/>
          <c:order val="2"/>
          <c:tx>
            <c:v>Noise Mode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Sheet2!$A$5:$A$47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Sheet2!$I$5:$I$47</c:f>
              <c:numCache>
                <c:formatCode>General</c:formatCode>
                <c:ptCount val="43"/>
                <c:pt idx="0">
                  <c:v>0.83799999999999997</c:v>
                </c:pt>
                <c:pt idx="1">
                  <c:v>0.81699999999999995</c:v>
                </c:pt>
                <c:pt idx="2">
                  <c:v>0.80600000000000005</c:v>
                </c:pt>
                <c:pt idx="3">
                  <c:v>0.80100000000000005</c:v>
                </c:pt>
                <c:pt idx="4">
                  <c:v>0.8</c:v>
                </c:pt>
                <c:pt idx="5">
                  <c:v>0.8</c:v>
                </c:pt>
                <c:pt idx="6">
                  <c:v>0.78900000000000003</c:v>
                </c:pt>
                <c:pt idx="7">
                  <c:v>0.76200000000000001</c:v>
                </c:pt>
                <c:pt idx="8">
                  <c:v>0.71899999999999997</c:v>
                </c:pt>
                <c:pt idx="9">
                  <c:v>0.66600000000000004</c:v>
                </c:pt>
                <c:pt idx="10">
                  <c:v>0.61199999999999999</c:v>
                </c:pt>
                <c:pt idx="11">
                  <c:v>0.56200000000000006</c:v>
                </c:pt>
                <c:pt idx="12">
                  <c:v>0.51600000000000001</c:v>
                </c:pt>
                <c:pt idx="13">
                  <c:v>0.47599999999999998</c:v>
                </c:pt>
                <c:pt idx="14">
                  <c:v>0.44</c:v>
                </c:pt>
                <c:pt idx="15">
                  <c:v>0.40400000000000003</c:v>
                </c:pt>
                <c:pt idx="16">
                  <c:v>0.36599999999999999</c:v>
                </c:pt>
                <c:pt idx="17">
                  <c:v>0.32900000000000001</c:v>
                </c:pt>
                <c:pt idx="18">
                  <c:v>0.29199999999999998</c:v>
                </c:pt>
                <c:pt idx="19">
                  <c:v>0.26100000000000001</c:v>
                </c:pt>
                <c:pt idx="20">
                  <c:v>0.23300000000000001</c:v>
                </c:pt>
                <c:pt idx="21">
                  <c:v>0.20899999999999999</c:v>
                </c:pt>
                <c:pt idx="22">
                  <c:v>0.189</c:v>
                </c:pt>
                <c:pt idx="23">
                  <c:v>0.17100000000000001</c:v>
                </c:pt>
                <c:pt idx="24">
                  <c:v>0.156</c:v>
                </c:pt>
                <c:pt idx="25">
                  <c:v>0.14199999999999999</c:v>
                </c:pt>
                <c:pt idx="26">
                  <c:v>0.13</c:v>
                </c:pt>
                <c:pt idx="27">
                  <c:v>0.11899999999999999</c:v>
                </c:pt>
                <c:pt idx="28">
                  <c:v>0.11</c:v>
                </c:pt>
                <c:pt idx="29">
                  <c:v>0.10100000000000001</c:v>
                </c:pt>
                <c:pt idx="30">
                  <c:v>9.4E-2</c:v>
                </c:pt>
                <c:pt idx="31">
                  <c:v>8.6999999999999994E-2</c:v>
                </c:pt>
                <c:pt idx="32">
                  <c:v>8.1000000000000003E-2</c:v>
                </c:pt>
                <c:pt idx="33">
                  <c:v>7.4999999999999997E-2</c:v>
                </c:pt>
                <c:pt idx="34">
                  <c:v>7.0000000000000007E-2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5.8000000000000003E-2</c:v>
                </c:pt>
                <c:pt idx="38">
                  <c:v>5.3999999999999999E-2</c:v>
                </c:pt>
                <c:pt idx="39">
                  <c:v>5.0999999999999997E-2</c:v>
                </c:pt>
                <c:pt idx="40">
                  <c:v>4.8000000000000001E-2</c:v>
                </c:pt>
                <c:pt idx="41">
                  <c:v>4.4999999999999998E-2</c:v>
                </c:pt>
                <c:pt idx="42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2-4582-9E74-61B25502CEE3}"/>
            </c:ext>
          </c:extLst>
        </c:ser>
        <c:ser>
          <c:idx val="3"/>
          <c:order val="3"/>
          <c:tx>
            <c:v>Noise Mode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Sheet2!$A$5:$A$47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Sheet2!$J$5:$J$47</c:f>
              <c:numCache>
                <c:formatCode>General</c:formatCode>
                <c:ptCount val="43"/>
                <c:pt idx="0">
                  <c:v>0.83599999999999997</c:v>
                </c:pt>
                <c:pt idx="1">
                  <c:v>0.8</c:v>
                </c:pt>
                <c:pt idx="2">
                  <c:v>0.76600000000000001</c:v>
                </c:pt>
                <c:pt idx="3">
                  <c:v>0.748</c:v>
                </c:pt>
                <c:pt idx="4">
                  <c:v>0.745</c:v>
                </c:pt>
                <c:pt idx="5">
                  <c:v>0.76500000000000001</c:v>
                </c:pt>
                <c:pt idx="6">
                  <c:v>0.75800000000000001</c:v>
                </c:pt>
                <c:pt idx="7">
                  <c:v>0.748</c:v>
                </c:pt>
                <c:pt idx="8">
                  <c:v>0.73099999999999998</c:v>
                </c:pt>
                <c:pt idx="9">
                  <c:v>0.70699999999999996</c:v>
                </c:pt>
                <c:pt idx="10">
                  <c:v>0.68</c:v>
                </c:pt>
                <c:pt idx="11">
                  <c:v>0.64900000000000002</c:v>
                </c:pt>
                <c:pt idx="12">
                  <c:v>0.61299999999999999</c:v>
                </c:pt>
                <c:pt idx="13">
                  <c:v>0.57099999999999995</c:v>
                </c:pt>
                <c:pt idx="14">
                  <c:v>0.52200000000000002</c:v>
                </c:pt>
                <c:pt idx="15">
                  <c:v>0.46100000000000002</c:v>
                </c:pt>
                <c:pt idx="16">
                  <c:v>0.40100000000000002</c:v>
                </c:pt>
                <c:pt idx="17">
                  <c:v>0.34899999999999998</c:v>
                </c:pt>
                <c:pt idx="18">
                  <c:v>0.30599999999999999</c:v>
                </c:pt>
                <c:pt idx="19">
                  <c:v>0.27</c:v>
                </c:pt>
                <c:pt idx="20">
                  <c:v>0.23899999999999999</c:v>
                </c:pt>
                <c:pt idx="21">
                  <c:v>0.214</c:v>
                </c:pt>
                <c:pt idx="22">
                  <c:v>0.192</c:v>
                </c:pt>
                <c:pt idx="23">
                  <c:v>0.17299999999999999</c:v>
                </c:pt>
                <c:pt idx="24">
                  <c:v>0.157</c:v>
                </c:pt>
                <c:pt idx="25">
                  <c:v>0.14299999999999999</c:v>
                </c:pt>
                <c:pt idx="26">
                  <c:v>0.13100000000000001</c:v>
                </c:pt>
                <c:pt idx="27">
                  <c:v>0.11899999999999999</c:v>
                </c:pt>
                <c:pt idx="28">
                  <c:v>0.11</c:v>
                </c:pt>
                <c:pt idx="29">
                  <c:v>0.10100000000000001</c:v>
                </c:pt>
                <c:pt idx="30">
                  <c:v>9.4E-2</c:v>
                </c:pt>
                <c:pt idx="31">
                  <c:v>8.6999999999999994E-2</c:v>
                </c:pt>
                <c:pt idx="32">
                  <c:v>8.1000000000000003E-2</c:v>
                </c:pt>
                <c:pt idx="33">
                  <c:v>7.4999999999999997E-2</c:v>
                </c:pt>
                <c:pt idx="34">
                  <c:v>7.0000000000000007E-2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5.8000000000000003E-2</c:v>
                </c:pt>
                <c:pt idx="38">
                  <c:v>5.3999999999999999E-2</c:v>
                </c:pt>
                <c:pt idx="39">
                  <c:v>5.0999999999999997E-2</c:v>
                </c:pt>
                <c:pt idx="40">
                  <c:v>4.8000000000000001E-2</c:v>
                </c:pt>
                <c:pt idx="41">
                  <c:v>4.4999999999999998E-2</c:v>
                </c:pt>
                <c:pt idx="42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2-4582-9E74-61B25502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42872"/>
        <c:axId val="286444792"/>
      </c:lineChart>
      <c:catAx>
        <c:axId val="28644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44792"/>
        <c:crosses val="autoZero"/>
        <c:auto val="1"/>
        <c:lblAlgn val="ctr"/>
        <c:lblOffset val="100"/>
        <c:noMultiLvlLbl val="0"/>
      </c:catAx>
      <c:valAx>
        <c:axId val="2864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42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4483814523184"/>
          <c:y val="0.17867489058425587"/>
          <c:w val="0.81208573928258965"/>
          <c:h val="0.64804995271608501"/>
        </c:manualLayout>
      </c:layout>
      <c:lineChart>
        <c:grouping val="standard"/>
        <c:varyColors val="0"/>
        <c:ser>
          <c:idx val="0"/>
          <c:order val="0"/>
          <c:tx>
            <c:v>dQ (Nm/m)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 blade sections'!$B$9:$B$33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'25 blade sections'!$Q$9:$Q$33</c:f>
              <c:numCache>
                <c:formatCode>General</c:formatCode>
                <c:ptCount val="25"/>
                <c:pt idx="0">
                  <c:v>3510.8189185084561</c:v>
                </c:pt>
                <c:pt idx="1">
                  <c:v>11235.372586515836</c:v>
                </c:pt>
                <c:pt idx="2">
                  <c:v>20632.871293149445</c:v>
                </c:pt>
                <c:pt idx="3">
                  <c:v>30577.220123608349</c:v>
                </c:pt>
                <c:pt idx="4">
                  <c:v>40627.784727129765</c:v>
                </c:pt>
                <c:pt idx="5">
                  <c:v>50624.360662154533</c:v>
                </c:pt>
                <c:pt idx="6">
                  <c:v>60519.573077659501</c:v>
                </c:pt>
                <c:pt idx="7">
                  <c:v>70301.223257051432</c:v>
                </c:pt>
                <c:pt idx="8">
                  <c:v>79980.010612948143</c:v>
                </c:pt>
                <c:pt idx="9">
                  <c:v>89552.042859172521</c:v>
                </c:pt>
                <c:pt idx="10">
                  <c:v>99030.445426276361</c:v>
                </c:pt>
                <c:pt idx="11">
                  <c:v>108404.5650001719</c:v>
                </c:pt>
                <c:pt idx="12">
                  <c:v>117665.56324869509</c:v>
                </c:pt>
                <c:pt idx="13">
                  <c:v>126780.30113248124</c:v>
                </c:pt>
                <c:pt idx="14">
                  <c:v>135705.61670024655</c:v>
                </c:pt>
                <c:pt idx="15">
                  <c:v>144331.05733607069</c:v>
                </c:pt>
                <c:pt idx="16">
                  <c:v>152497.2410923712</c:v>
                </c:pt>
                <c:pt idx="17">
                  <c:v>159949.6907684191</c:v>
                </c:pt>
                <c:pt idx="18">
                  <c:v>166196.92451432184</c:v>
                </c:pt>
                <c:pt idx="19">
                  <c:v>170510.91177866893</c:v>
                </c:pt>
                <c:pt idx="20">
                  <c:v>171462.98385065849</c:v>
                </c:pt>
                <c:pt idx="21">
                  <c:v>167021.44297499373</c:v>
                </c:pt>
                <c:pt idx="22">
                  <c:v>153047.17210509276</c:v>
                </c:pt>
                <c:pt idx="23">
                  <c:v>119897.02499749599</c:v>
                </c:pt>
                <c:pt idx="24">
                  <c:v>-9446.4906254361485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6-45ED-992A-29DB2579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686824"/>
        <c:axId val="763683544"/>
      </c:lineChart>
      <c:catAx>
        <c:axId val="76368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83544"/>
        <c:crosses val="autoZero"/>
        <c:auto val="1"/>
        <c:lblAlgn val="ctr"/>
        <c:lblOffset val="100"/>
        <c:noMultiLvlLbl val="0"/>
      </c:catAx>
      <c:valAx>
        <c:axId val="7636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 (Nm/m)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8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Chord variation</a:t>
            </a:r>
            <a:r>
              <a:rPr lang="en-US" baseline="0"/>
              <a:t> along Blade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6981627296588"/>
          <c:y val="0.16245370370370371"/>
          <c:w val="0.87386351706036758"/>
          <c:h val="0.68480848747443201"/>
        </c:manualLayout>
      </c:layout>
      <c:lineChart>
        <c:grouping val="standard"/>
        <c:varyColors val="0"/>
        <c:ser>
          <c:idx val="0"/>
          <c:order val="0"/>
          <c:tx>
            <c:v>chord (c)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 blade sections'!$B$9:$B$33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'25 blade sections'!$G$9:$G$33</c:f>
              <c:numCache>
                <c:formatCode>General</c:formatCode>
                <c:ptCount val="25"/>
                <c:pt idx="0">
                  <c:v>4.4848430283344101</c:v>
                </c:pt>
                <c:pt idx="1">
                  <c:v>6.7783056708553397</c:v>
                </c:pt>
                <c:pt idx="2">
                  <c:v>7.6372565475438323</c:v>
                </c:pt>
                <c:pt idx="3">
                  <c:v>7.7044008147182996</c:v>
                </c:pt>
                <c:pt idx="4">
                  <c:v>7.3956170477563221</c:v>
                </c:pt>
                <c:pt idx="5">
                  <c:v>6.9392610805242629</c:v>
                </c:pt>
                <c:pt idx="6">
                  <c:v>6.4481342752904833</c:v>
                </c:pt>
                <c:pt idx="7">
                  <c:v>5.9732032599240501</c:v>
                </c:pt>
                <c:pt idx="8">
                  <c:v>5.5347425055523907</c:v>
                </c:pt>
                <c:pt idx="9">
                  <c:v>5.1385370271410711</c:v>
                </c:pt>
                <c:pt idx="10">
                  <c:v>4.7838936428209005</c:v>
                </c:pt>
                <c:pt idx="11">
                  <c:v>4.4674914944370583</c:v>
                </c:pt>
                <c:pt idx="12">
                  <c:v>4.1851864129754031</c:v>
                </c:pt>
                <c:pt idx="13">
                  <c:v>3.9328234875190549</c:v>
                </c:pt>
                <c:pt idx="14">
                  <c:v>3.7065738524725287</c:v>
                </c:pt>
                <c:pt idx="15">
                  <c:v>3.5030469137272404</c:v>
                </c:pt>
                <c:pt idx="16">
                  <c:v>3.319300127594969</c:v>
                </c:pt>
                <c:pt idx="17">
                  <c:v>3.1528054325275399</c:v>
                </c:pt>
                <c:pt idx="18">
                  <c:v>3.0014005572011255</c:v>
                </c:pt>
                <c:pt idx="19">
                  <c:v>2.8632382624829678</c:v>
                </c:pt>
                <c:pt idx="20">
                  <c:v>2.7367391465928095</c:v>
                </c:pt>
                <c:pt idx="21">
                  <c:v>2.6205500507299777</c:v>
                </c:pt>
                <c:pt idx="22">
                  <c:v>2.5135084181645566</c:v>
                </c:pt>
                <c:pt idx="23">
                  <c:v>2.4146122214249042</c:v>
                </c:pt>
                <c:pt idx="24">
                  <c:v>2.3229947967560558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9B8-9B87-038902A1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06184"/>
        <c:axId val="767406840"/>
      </c:lineChart>
      <c:catAx>
        <c:axId val="76740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06840"/>
        <c:crosses val="autoZero"/>
        <c:auto val="1"/>
        <c:lblAlgn val="ctr"/>
        <c:lblOffset val="100"/>
        <c:noMultiLvlLbl val="0"/>
      </c:catAx>
      <c:valAx>
        <c:axId val="7674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0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Blade</a:t>
            </a:r>
            <a:r>
              <a:rPr lang="en-US" baseline="0"/>
              <a:t> Twist variation along Blade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0.14856481481481484"/>
          <c:w val="0.85008573928258979"/>
          <c:h val="0.68939814814814815"/>
        </c:manualLayout>
      </c:layout>
      <c:lineChart>
        <c:grouping val="standard"/>
        <c:varyColors val="0"/>
        <c:ser>
          <c:idx val="0"/>
          <c:order val="0"/>
          <c:tx>
            <c:v>Twist(degrees)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 blade sections'!$B$9:$B$33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0.12000000000000001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0.27999999999999997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0.48000000000000004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0.91999999999999993</c:v>
                </c:pt>
                <c:pt idx="23">
                  <c:v>0.96000000000000008</c:v>
                </c:pt>
                <c:pt idx="24">
                  <c:v>1</c:v>
                </c:pt>
              </c:numCache>
            </c:numRef>
          </c:cat>
          <c:val>
            <c:numRef>
              <c:f>'25 blade sections'!$I$9:$I$33</c:f>
              <c:numCache>
                <c:formatCode>General</c:formatCode>
                <c:ptCount val="25"/>
                <c:pt idx="0">
                  <c:v>42.166677618815548</c:v>
                </c:pt>
                <c:pt idx="1">
                  <c:v>34.94179297908952</c:v>
                </c:pt>
                <c:pt idx="2">
                  <c:v>28.690557846710853</c:v>
                </c:pt>
                <c:pt idx="3">
                  <c:v>23.493029123619497</c:v>
                </c:pt>
                <c:pt idx="4">
                  <c:v>19.251131523949709</c:v>
                </c:pt>
                <c:pt idx="5">
                  <c:v>15.803047048485174</c:v>
                </c:pt>
                <c:pt idx="6">
                  <c:v>12.987861985447756</c:v>
                </c:pt>
                <c:pt idx="7">
                  <c:v>10.669498828201855</c:v>
                </c:pt>
                <c:pt idx="8">
                  <c:v>8.7403996147648364</c:v>
                </c:pt>
                <c:pt idx="9">
                  <c:v>7.1178771212254768</c:v>
                </c:pt>
                <c:pt idx="10">
                  <c:v>5.7389037431573691</c:v>
                </c:pt>
                <c:pt idx="11">
                  <c:v>4.5553764066225355</c:v>
                </c:pt>
                <c:pt idx="12">
                  <c:v>3.5303513794134962</c:v>
                </c:pt>
                <c:pt idx="13">
                  <c:v>2.6352063159576669</c:v>
                </c:pt>
                <c:pt idx="14">
                  <c:v>1.847547215272505</c:v>
                </c:pt>
                <c:pt idx="15">
                  <c:v>1.1496749948927798</c:v>
                </c:pt>
                <c:pt idx="16">
                  <c:v>0.52746075002797421</c:v>
                </c:pt>
                <c:pt idx="17">
                  <c:v>-3.0483642817816063E-2</c:v>
                </c:pt>
                <c:pt idx="18">
                  <c:v>-0.53342177736139429</c:v>
                </c:pt>
                <c:pt idx="19">
                  <c:v>-0.98895459413911946</c:v>
                </c:pt>
                <c:pt idx="20">
                  <c:v>-1.4033697396253895</c:v>
                </c:pt>
                <c:pt idx="21">
                  <c:v>-1.7819082748044304</c:v>
                </c:pt>
                <c:pt idx="22">
                  <c:v>-2.1289701522396349</c:v>
                </c:pt>
                <c:pt idx="23">
                  <c:v>-2.4482739279106429</c:v>
                </c:pt>
                <c:pt idx="24">
                  <c:v>-2.7429819635608417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1B6-8F83-B17A8ADD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14224"/>
        <c:axId val="773912912"/>
      </c:lineChart>
      <c:catAx>
        <c:axId val="77391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12912"/>
        <c:crosses val="autoZero"/>
        <c:auto val="1"/>
        <c:lblAlgn val="ctr"/>
        <c:lblOffset val="100"/>
        <c:noMultiLvlLbl val="0"/>
      </c:catAx>
      <c:valAx>
        <c:axId val="773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iTERATIONS!$C$12:$C$36</c:f>
              <c:numCache>
                <c:formatCode>0.000</c:formatCode>
                <c:ptCount val="25"/>
                <c:pt idx="0">
                  <c:v>1.8</c:v>
                </c:pt>
                <c:pt idx="1">
                  <c:v>3.6</c:v>
                </c:pt>
                <c:pt idx="2">
                  <c:v>5.4</c:v>
                </c:pt>
                <c:pt idx="3">
                  <c:v>7.2</c:v>
                </c:pt>
                <c:pt idx="4">
                  <c:v>9</c:v>
                </c:pt>
                <c:pt idx="5">
                  <c:v>10.8</c:v>
                </c:pt>
                <c:pt idx="6">
                  <c:v>12.6</c:v>
                </c:pt>
                <c:pt idx="7">
                  <c:v>14.4</c:v>
                </c:pt>
                <c:pt idx="8">
                  <c:v>16.2</c:v>
                </c:pt>
                <c:pt idx="9">
                  <c:v>18</c:v>
                </c:pt>
                <c:pt idx="10">
                  <c:v>19.8</c:v>
                </c:pt>
                <c:pt idx="11">
                  <c:v>21.6</c:v>
                </c:pt>
                <c:pt idx="12">
                  <c:v>23.4</c:v>
                </c:pt>
                <c:pt idx="13">
                  <c:v>25.2</c:v>
                </c:pt>
                <c:pt idx="14">
                  <c:v>27</c:v>
                </c:pt>
                <c:pt idx="15">
                  <c:v>28.8</c:v>
                </c:pt>
                <c:pt idx="16">
                  <c:v>30.6</c:v>
                </c:pt>
                <c:pt idx="17">
                  <c:v>32.4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37.799999999999997</c:v>
                </c:pt>
                <c:pt idx="21">
                  <c:v>39.6</c:v>
                </c:pt>
                <c:pt idx="22">
                  <c:v>41.4</c:v>
                </c:pt>
                <c:pt idx="23">
                  <c:v>43.2</c:v>
                </c:pt>
                <c:pt idx="24">
                  <c:v>45</c:v>
                </c:pt>
              </c:numCache>
            </c:numRef>
          </c:cat>
          <c:val>
            <c:numRef>
              <c:f>iTERATIONS!$W$12:$W$36</c:f>
              <c:numCache>
                <c:formatCode>0.000</c:formatCode>
                <c:ptCount val="25"/>
                <c:pt idx="0">
                  <c:v>108.20127854203511</c:v>
                </c:pt>
                <c:pt idx="1">
                  <c:v>2377.8616191282326</c:v>
                </c:pt>
                <c:pt idx="2">
                  <c:v>7891.3348550903484</c:v>
                </c:pt>
                <c:pt idx="3">
                  <c:v>14976.212921613424</c:v>
                </c:pt>
                <c:pt idx="4">
                  <c:v>22301.524091881965</c:v>
                </c:pt>
                <c:pt idx="5">
                  <c:v>29401.721659030689</c:v>
                </c:pt>
                <c:pt idx="6">
                  <c:v>36206.504398276513</c:v>
                </c:pt>
                <c:pt idx="7">
                  <c:v>42754.168449903817</c:v>
                </c:pt>
                <c:pt idx="8">
                  <c:v>49095.061114314536</c:v>
                </c:pt>
                <c:pt idx="9">
                  <c:v>55268.280050834823</c:v>
                </c:pt>
                <c:pt idx="10">
                  <c:v>61299.044139028745</c:v>
                </c:pt>
                <c:pt idx="11">
                  <c:v>67199.967209865295</c:v>
                </c:pt>
                <c:pt idx="12">
                  <c:v>72971.546168315646</c:v>
                </c:pt>
                <c:pt idx="13">
                  <c:v>78600.437823498156</c:v>
                </c:pt>
                <c:pt idx="14">
                  <c:v>84054.568913669806</c:v>
                </c:pt>
                <c:pt idx="15">
                  <c:v>89273.62067005485</c:v>
                </c:pt>
                <c:pt idx="16">
                  <c:v>94152.329179754757</c:v>
                </c:pt>
                <c:pt idx="17">
                  <c:v>98512.177671574696</c:v>
                </c:pt>
                <c:pt idx="18">
                  <c:v>102053.8228046626</c:v>
                </c:pt>
                <c:pt idx="19">
                  <c:v>104276.42797722983</c:v>
                </c:pt>
                <c:pt idx="20">
                  <c:v>104336.07760744031</c:v>
                </c:pt>
                <c:pt idx="21">
                  <c:v>100774.59165677555</c:v>
                </c:pt>
                <c:pt idx="22">
                  <c:v>90888.814114538574</c:v>
                </c:pt>
                <c:pt idx="23">
                  <c:v>68541.932609885946</c:v>
                </c:pt>
                <c:pt idx="24">
                  <c:v>-16736.629468267758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6-4295-A23D-9B733FCF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47688"/>
        <c:axId val="193219696"/>
      </c:lineChart>
      <c:catAx>
        <c:axId val="5049476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9696"/>
        <c:crosses val="autoZero"/>
        <c:auto val="1"/>
        <c:lblAlgn val="ctr"/>
        <c:lblOffset val="100"/>
        <c:noMultiLvlLbl val="0"/>
      </c:catAx>
      <c:valAx>
        <c:axId val="193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 corrections'!$C$12:$C$36</c:f>
              <c:numCache>
                <c:formatCode>General</c:formatCode>
                <c:ptCount val="25"/>
                <c:pt idx="0">
                  <c:v>1.8</c:v>
                </c:pt>
                <c:pt idx="1">
                  <c:v>3.6</c:v>
                </c:pt>
                <c:pt idx="2">
                  <c:v>5.4</c:v>
                </c:pt>
                <c:pt idx="3">
                  <c:v>7.2</c:v>
                </c:pt>
                <c:pt idx="4">
                  <c:v>9</c:v>
                </c:pt>
                <c:pt idx="5">
                  <c:v>10.8</c:v>
                </c:pt>
                <c:pt idx="6">
                  <c:v>12.6</c:v>
                </c:pt>
                <c:pt idx="7">
                  <c:v>14.4</c:v>
                </c:pt>
                <c:pt idx="8">
                  <c:v>16.2</c:v>
                </c:pt>
                <c:pt idx="9">
                  <c:v>18</c:v>
                </c:pt>
                <c:pt idx="10">
                  <c:v>19.8</c:v>
                </c:pt>
                <c:pt idx="11">
                  <c:v>21.6</c:v>
                </c:pt>
                <c:pt idx="12">
                  <c:v>23.4</c:v>
                </c:pt>
                <c:pt idx="13">
                  <c:v>25.2</c:v>
                </c:pt>
                <c:pt idx="14">
                  <c:v>27</c:v>
                </c:pt>
                <c:pt idx="15">
                  <c:v>28.8</c:v>
                </c:pt>
                <c:pt idx="16">
                  <c:v>30.6</c:v>
                </c:pt>
                <c:pt idx="17">
                  <c:v>32.4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37.799999999999997</c:v>
                </c:pt>
                <c:pt idx="21">
                  <c:v>39.6</c:v>
                </c:pt>
                <c:pt idx="22">
                  <c:v>41.4</c:v>
                </c:pt>
                <c:pt idx="23">
                  <c:v>43.2</c:v>
                </c:pt>
                <c:pt idx="24">
                  <c:v>45</c:v>
                </c:pt>
              </c:numCache>
            </c:numRef>
          </c:cat>
          <c:val>
            <c:numRef>
              <c:f>'with corrections'!$W$12:$W$36</c:f>
              <c:numCache>
                <c:formatCode>0.00</c:formatCode>
                <c:ptCount val="25"/>
                <c:pt idx="0">
                  <c:v>1359.3586364690077</c:v>
                </c:pt>
                <c:pt idx="1">
                  <c:v>5965.2567420878722</c:v>
                </c:pt>
                <c:pt idx="2">
                  <c:v>11436.303768715952</c:v>
                </c:pt>
                <c:pt idx="3">
                  <c:v>17107.767224428826</c:v>
                </c:pt>
                <c:pt idx="4">
                  <c:v>22836.304897332004</c:v>
                </c:pt>
                <c:pt idx="5">
                  <c:v>28593.06870362355</c:v>
                </c:pt>
                <c:pt idx="6">
                  <c:v>34364.731687892294</c:v>
                </c:pt>
                <c:pt idx="7">
                  <c:v>40137.977685900783</c:v>
                </c:pt>
                <c:pt idx="8">
                  <c:v>45899.497551131826</c:v>
                </c:pt>
                <c:pt idx="9">
                  <c:v>51636.76984180756</c:v>
                </c:pt>
                <c:pt idx="10">
                  <c:v>57337.696676551837</c:v>
                </c:pt>
                <c:pt idx="11">
                  <c:v>62989.207297245339</c:v>
                </c:pt>
                <c:pt idx="12">
                  <c:v>68574.832926617106</c:v>
                </c:pt>
                <c:pt idx="13">
                  <c:v>74070.839131081579</c:v>
                </c:pt>
                <c:pt idx="14">
                  <c:v>79439.996103409023</c:v>
                </c:pt>
                <c:pt idx="15">
                  <c:v>84621.362098802798</c:v>
                </c:pt>
                <c:pt idx="16">
                  <c:v>89513.341442641744</c:v>
                </c:pt>
                <c:pt idx="17">
                  <c:v>93945.41863663499</c:v>
                </c:pt>
                <c:pt idx="18">
                  <c:v>97630.722180613375</c:v>
                </c:pt>
                <c:pt idx="19">
                  <c:v>100085.40856299463</c:v>
                </c:pt>
                <c:pt idx="20">
                  <c:v>100487.08014815142</c:v>
                </c:pt>
                <c:pt idx="21">
                  <c:v>97404.706444869327</c:v>
                </c:pt>
                <c:pt idx="22">
                  <c:v>88175.752188065337</c:v>
                </c:pt>
                <c:pt idx="23">
                  <c:v>66761.170802331952</c:v>
                </c:pt>
                <c:pt idx="24">
                  <c:v>-16183.559149609893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696-A214-33A35EB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47688"/>
        <c:axId val="193219696"/>
      </c:lineChart>
      <c:catAx>
        <c:axId val="5049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9696"/>
        <c:crosses val="autoZero"/>
        <c:auto val="1"/>
        <c:lblAlgn val="ctr"/>
        <c:lblOffset val="100"/>
        <c:noMultiLvlLbl val="0"/>
      </c:catAx>
      <c:valAx>
        <c:axId val="193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55891813775084E-2"/>
          <c:y val="0.13004629629629633"/>
          <c:w val="0.8574850926856741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dQ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 corrections'!$C$58:$C$82</c:f>
              <c:numCache>
                <c:formatCode>General</c:formatCode>
                <c:ptCount val="25"/>
                <c:pt idx="0">
                  <c:v>1.8</c:v>
                </c:pt>
                <c:pt idx="1">
                  <c:v>3.6</c:v>
                </c:pt>
                <c:pt idx="2">
                  <c:v>5.4</c:v>
                </c:pt>
                <c:pt idx="3">
                  <c:v>7.2</c:v>
                </c:pt>
                <c:pt idx="4">
                  <c:v>9</c:v>
                </c:pt>
                <c:pt idx="5">
                  <c:v>10.8</c:v>
                </c:pt>
                <c:pt idx="6">
                  <c:v>12.6</c:v>
                </c:pt>
                <c:pt idx="7">
                  <c:v>14.4</c:v>
                </c:pt>
                <c:pt idx="8">
                  <c:v>16.2</c:v>
                </c:pt>
                <c:pt idx="9">
                  <c:v>18</c:v>
                </c:pt>
                <c:pt idx="10">
                  <c:v>19.8</c:v>
                </c:pt>
                <c:pt idx="11">
                  <c:v>21.6</c:v>
                </c:pt>
                <c:pt idx="12">
                  <c:v>23.4</c:v>
                </c:pt>
                <c:pt idx="13">
                  <c:v>25.2</c:v>
                </c:pt>
                <c:pt idx="14">
                  <c:v>27</c:v>
                </c:pt>
                <c:pt idx="15">
                  <c:v>28.8</c:v>
                </c:pt>
                <c:pt idx="16">
                  <c:v>30.6</c:v>
                </c:pt>
                <c:pt idx="17">
                  <c:v>32.4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37.799999999999997</c:v>
                </c:pt>
                <c:pt idx="21">
                  <c:v>39.6</c:v>
                </c:pt>
                <c:pt idx="22">
                  <c:v>41.4</c:v>
                </c:pt>
                <c:pt idx="23">
                  <c:v>43.2</c:v>
                </c:pt>
                <c:pt idx="24">
                  <c:v>45</c:v>
                </c:pt>
              </c:numCache>
            </c:numRef>
          </c:cat>
          <c:val>
            <c:numRef>
              <c:f>'with corrections'!$Z$58:$Z$82</c:f>
              <c:numCache>
                <c:formatCode>General</c:formatCode>
                <c:ptCount val="25"/>
                <c:pt idx="0">
                  <c:v>1598.052488562804</c:v>
                </c:pt>
                <c:pt idx="1">
                  <c:v>5369.9891385304973</c:v>
                </c:pt>
                <c:pt idx="2">
                  <c:v>9750.6651174628132</c:v>
                </c:pt>
                <c:pt idx="3">
                  <c:v>14218.710058458068</c:v>
                </c:pt>
                <c:pt idx="4">
                  <c:v>18623.854613860371</c:v>
                </c:pt>
                <c:pt idx="5">
                  <c:v>22926.585665418526</c:v>
                </c:pt>
                <c:pt idx="6">
                  <c:v>27118.649357108679</c:v>
                </c:pt>
                <c:pt idx="7">
                  <c:v>31200.10432264741</c:v>
                </c:pt>
                <c:pt idx="8">
                  <c:v>35172.838277825351</c:v>
                </c:pt>
                <c:pt idx="9">
                  <c:v>39038.770990661149</c:v>
                </c:pt>
                <c:pt idx="10">
                  <c:v>42799.350911842579</c:v>
                </c:pt>
                <c:pt idx="11">
                  <c:v>46455.323232405892</c:v>
                </c:pt>
                <c:pt idx="12">
                  <c:v>50006.37593716941</c:v>
                </c:pt>
                <c:pt idx="13">
                  <c:v>53450.347445439198</c:v>
                </c:pt>
                <c:pt idx="14">
                  <c:v>56781.479631885217</c:v>
                </c:pt>
                <c:pt idx="15">
                  <c:v>59986.676245246403</c:v>
                </c:pt>
                <c:pt idx="16">
                  <c:v>63037.604057177639</c:v>
                </c:pt>
                <c:pt idx="17">
                  <c:v>65874.129430221132</c:v>
                </c:pt>
                <c:pt idx="18">
                  <c:v>68369.703099324935</c:v>
                </c:pt>
                <c:pt idx="19">
                  <c:v>70259.1078931144</c:v>
                </c:pt>
                <c:pt idx="20">
                  <c:v>70987.19154771106</c:v>
                </c:pt>
                <c:pt idx="21">
                  <c:v>69386.364921311353</c:v>
                </c:pt>
                <c:pt idx="22">
                  <c:v>62934.386055085226</c:v>
                </c:pt>
                <c:pt idx="23">
                  <c:v>45478.216309164512</c:v>
                </c:pt>
                <c:pt idx="24">
                  <c:v>-11712.197536993661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7-46EF-BE3C-4E81D797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11536"/>
        <c:axId val="498112848"/>
      </c:lineChart>
      <c:catAx>
        <c:axId val="4981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2848"/>
        <c:crosses val="autoZero"/>
        <c:auto val="1"/>
        <c:lblAlgn val="ctr"/>
        <c:lblOffset val="100"/>
        <c:noMultiLvlLbl val="0"/>
      </c:catAx>
      <c:valAx>
        <c:axId val="498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9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image" Target="../media/image18.png"/><Relationship Id="rId18" Type="http://schemas.openxmlformats.org/officeDocument/2006/relationships/chart" Target="../charts/chart12.xml"/><Relationship Id="rId3" Type="http://schemas.openxmlformats.org/officeDocument/2006/relationships/image" Target="../media/image13.png"/><Relationship Id="rId21" Type="http://schemas.openxmlformats.org/officeDocument/2006/relationships/image" Target="../media/image25.png"/><Relationship Id="rId7" Type="http://schemas.openxmlformats.org/officeDocument/2006/relationships/chart" Target="../charts/chart9.xml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12.png"/><Relationship Id="rId16" Type="http://schemas.openxmlformats.org/officeDocument/2006/relationships/image" Target="../media/image21.png"/><Relationship Id="rId20" Type="http://schemas.openxmlformats.org/officeDocument/2006/relationships/image" Target="../media/image24.png"/><Relationship Id="rId1" Type="http://schemas.openxmlformats.org/officeDocument/2006/relationships/chart" Target="../charts/chart8.xml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19" Type="http://schemas.openxmlformats.org/officeDocument/2006/relationships/image" Target="../media/image23.png"/><Relationship Id="rId4" Type="http://schemas.openxmlformats.org/officeDocument/2006/relationships/image" Target="../media/image14.png"/><Relationship Id="rId9" Type="http://schemas.openxmlformats.org/officeDocument/2006/relationships/chart" Target="../charts/chart11.xml"/><Relationship Id="rId1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271742</xdr:colOff>
      <xdr:row>10</xdr:row>
      <xdr:rowOff>176814</xdr:rowOff>
    </xdr:from>
    <xdr:to>
      <xdr:col>14</xdr:col>
      <xdr:colOff>593478</xdr:colOff>
      <xdr:row>24</xdr:row>
      <xdr:rowOff>159228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1B1C68-5067-43D9-B38A-38BCC424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266702</xdr:colOff>
      <xdr:row>1</xdr:row>
      <xdr:rowOff>180730</xdr:rowOff>
    </xdr:from>
    <xdr:to>
      <xdr:col>6</xdr:col>
      <xdr:colOff>356577</xdr:colOff>
      <xdr:row>9</xdr:row>
      <xdr:rowOff>157697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0773A-6E63-43D1-8E3B-F750685CC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1471" y="366345"/>
          <a:ext cx="2170721" cy="1647506"/>
        </a:xfrm>
        <a:prstGeom prst="rect">
          <a:avLst/>
        </a:prstGeom>
      </xdr:spPr>
    </xdr:pic>
    <xdr:clientData/>
  </xdr:twoCellAnchor>
  <xdr:twoCellAnchor editAs="oneCell">
    <xdr:from>
      <xdr:col>8</xdr:col>
      <xdr:colOff>5167</xdr:colOff>
      <xdr:row>7</xdr:row>
      <xdr:rowOff>156864</xdr:rowOff>
    </xdr:from>
    <xdr:to>
      <xdr:col>10</xdr:col>
      <xdr:colOff>274254</xdr:colOff>
      <xdr:row>9</xdr:row>
      <xdr:rowOff>76654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48056F-011A-4F47-AFAE-486262A05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7638" y="1616634"/>
          <a:ext cx="1495294" cy="284733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25</xdr:row>
      <xdr:rowOff>167380</xdr:rowOff>
    </xdr:from>
    <xdr:to>
      <xdr:col>17</xdr:col>
      <xdr:colOff>217802</xdr:colOff>
      <xdr:row>37</xdr:row>
      <xdr:rowOff>59837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9509A0-B25E-4AA4-B1CA-C3735012A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3700" y="5507730"/>
          <a:ext cx="5494652" cy="2102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9462</xdr:rowOff>
    </xdr:from>
    <xdr:to>
      <xdr:col>18</xdr:col>
      <xdr:colOff>503350</xdr:colOff>
      <xdr:row>18</xdr:row>
      <xdr:rowOff>174561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17FC6-FF03-43BE-801B-77B529168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12476</xdr:colOff>
      <xdr:row>21</xdr:row>
      <xdr:rowOff>2084</xdr:rowOff>
    </xdr:from>
    <xdr:to>
      <xdr:col>18</xdr:col>
      <xdr:colOff>317019</xdr:colOff>
      <xdr:row>35</xdr:row>
      <xdr:rowOff>169044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91DFE-694B-4FAF-B7D5-6F0EA99D26A6}"/>
            </a:ext>
            <a:ext uri="{147F2762-F138-4A5C-976F-8EAC2B608ADB}">
              <a16:predDERef xmlns:a16="http://schemas.microsoft.com/office/drawing/2014/main" pred="{70D17FC6-FF03-43BE-801B-77B529168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107567</xdr:colOff>
      <xdr:row>50</xdr:row>
      <xdr:rowOff>274721</xdr:rowOff>
    </xdr:from>
    <xdr:to>
      <xdr:col>18</xdr:col>
      <xdr:colOff>30226</xdr:colOff>
      <xdr:row>71</xdr:row>
      <xdr:rowOff>75787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23BCE-113E-4BE8-834B-A8FC87883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2149"/>
        <a:stretch/>
      </xdr:blipFill>
      <xdr:spPr>
        <a:xfrm>
          <a:off x="10273917" y="9482221"/>
          <a:ext cx="2970659" cy="4036516"/>
        </a:xfrm>
        <a:prstGeom prst="rect">
          <a:avLst/>
        </a:prstGeom>
      </xdr:spPr>
    </xdr:pic>
    <xdr:clientData/>
  </xdr:twoCellAnchor>
  <xdr:twoCellAnchor editAs="oneCell">
    <xdr:from>
      <xdr:col>13</xdr:col>
      <xdr:colOff>212568</xdr:colOff>
      <xdr:row>71</xdr:row>
      <xdr:rowOff>96742</xdr:rowOff>
    </xdr:from>
    <xdr:to>
      <xdr:col>18</xdr:col>
      <xdr:colOff>34739</xdr:colOff>
      <xdr:row>76</xdr:row>
      <xdr:rowOff>24050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6961E8-BAFD-421B-875A-97717CD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8918" y="13539692"/>
          <a:ext cx="2870171" cy="848058"/>
        </a:xfrm>
        <a:prstGeom prst="rect">
          <a:avLst/>
        </a:prstGeom>
      </xdr:spPr>
    </xdr:pic>
    <xdr:clientData/>
  </xdr:twoCellAnchor>
  <xdr:twoCellAnchor editAs="oneCell">
    <xdr:from>
      <xdr:col>18</xdr:col>
      <xdr:colOff>311861</xdr:colOff>
      <xdr:row>54</xdr:row>
      <xdr:rowOff>76200</xdr:rowOff>
    </xdr:from>
    <xdr:to>
      <xdr:col>23</xdr:col>
      <xdr:colOff>59493</xdr:colOff>
      <xdr:row>66</xdr:row>
      <xdr:rowOff>110476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F2BDFC-8D9A-4D81-BB92-A9EEFAEB5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61086" y="10934700"/>
          <a:ext cx="2795632" cy="232027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76</xdr:row>
      <xdr:rowOff>184644</xdr:rowOff>
    </xdr:from>
    <xdr:to>
      <xdr:col>19</xdr:col>
      <xdr:colOff>485775</xdr:colOff>
      <xdr:row>85</xdr:row>
      <xdr:rowOff>161924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D77A38-34CA-45D1-BABC-AFF2236FD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8200" y="15234144"/>
          <a:ext cx="9296400" cy="1691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63152</xdr:colOff>
      <xdr:row>4</xdr:row>
      <xdr:rowOff>47625</xdr:rowOff>
    </xdr:from>
    <xdr:to>
      <xdr:col>32</xdr:col>
      <xdr:colOff>315089</xdr:colOff>
      <xdr:row>14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85DCE9-D9CB-473A-8CEB-CB802E36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9077" y="809625"/>
          <a:ext cx="4519137" cy="2314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58831</xdr:colOff>
      <xdr:row>0</xdr:row>
      <xdr:rowOff>67567</xdr:rowOff>
    </xdr:from>
    <xdr:to>
      <xdr:col>9</xdr:col>
      <xdr:colOff>156882</xdr:colOff>
      <xdr:row>6</xdr:row>
      <xdr:rowOff>98265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C51927-C1D2-40A9-A50A-E654B6B1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4655" y="67567"/>
          <a:ext cx="1958227" cy="1173698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25</xdr:col>
      <xdr:colOff>351119</xdr:colOff>
      <xdr:row>9</xdr:row>
      <xdr:rowOff>161644</xdr:rowOff>
    </xdr:from>
    <xdr:to>
      <xdr:col>33</xdr:col>
      <xdr:colOff>43329</xdr:colOff>
      <xdr:row>26</xdr:row>
      <xdr:rowOff>61632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DE7DA-E0CD-4946-919C-8A8672FD7EBE}"/>
            </a:ext>
            <a:ext uri="{147F2762-F138-4A5C-976F-8EAC2B608ADB}">
              <a16:predDERef xmlns:a16="http://schemas.microsoft.com/office/drawing/2014/main" pred="{60C51927-C1D2-40A9-A50A-E654B6B1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34</xdr:row>
      <xdr:rowOff>185737</xdr:rowOff>
    </xdr:from>
    <xdr:to>
      <xdr:col>8</xdr:col>
      <xdr:colOff>342900</xdr:colOff>
      <xdr:row>50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5D5FC-594D-4EAE-9AA8-9A28FD055701}"/>
            </a:ext>
            <a:ext uri="{147F2762-F138-4A5C-976F-8EAC2B608ADB}">
              <a16:predDERef xmlns:a16="http://schemas.microsoft.com/office/drawing/2014/main" pred="{717DE7DA-E0CD-4946-919C-8A8672FD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35</xdr:row>
      <xdr:rowOff>33337</xdr:rowOff>
    </xdr:from>
    <xdr:to>
      <xdr:col>16</xdr:col>
      <xdr:colOff>295275</xdr:colOff>
      <xdr:row>50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B1F3D-9D2C-4D44-80EA-B6157005D71C}"/>
            </a:ext>
            <a:ext uri="{147F2762-F138-4A5C-976F-8EAC2B608ADB}">
              <a16:predDERef xmlns:a16="http://schemas.microsoft.com/office/drawing/2014/main" pred="{B175D5FC-594D-4EAE-9AA8-9A28FD05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431244</xdr:colOff>
      <xdr:row>0</xdr:row>
      <xdr:rowOff>46444</xdr:rowOff>
    </xdr:from>
    <xdr:to>
      <xdr:col>15</xdr:col>
      <xdr:colOff>134470</xdr:colOff>
      <xdr:row>6</xdr:row>
      <xdr:rowOff>84604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442445-5D68-4072-A52C-2389B4009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27244" y="46444"/>
          <a:ext cx="3434785" cy="118116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26</xdr:col>
      <xdr:colOff>358589</xdr:colOff>
      <xdr:row>13</xdr:row>
      <xdr:rowOff>0</xdr:rowOff>
    </xdr:from>
    <xdr:to>
      <xdr:col>29</xdr:col>
      <xdr:colOff>171807</xdr:colOff>
      <xdr:row>16</xdr:row>
      <xdr:rowOff>114214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A37F88-C4F3-4515-A64E-ECFCA7F4D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42442" y="2667000"/>
          <a:ext cx="1628571" cy="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392160</xdr:colOff>
      <xdr:row>16</xdr:row>
      <xdr:rowOff>33619</xdr:rowOff>
    </xdr:from>
    <xdr:to>
      <xdr:col>27</xdr:col>
      <xdr:colOff>112059</xdr:colOff>
      <xdr:row>29</xdr:row>
      <xdr:rowOff>59582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353E4D-5783-400E-8A3E-DA0BC8268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8042" y="3081619"/>
          <a:ext cx="2140370" cy="2502463"/>
        </a:xfrm>
        <a:prstGeom prst="rect">
          <a:avLst/>
        </a:prstGeom>
      </xdr:spPr>
    </xdr:pic>
    <xdr:clientData/>
  </xdr:twoCellAnchor>
  <xdr:twoCellAnchor editAs="oneCell">
    <xdr:from>
      <xdr:col>27</xdr:col>
      <xdr:colOff>134471</xdr:colOff>
      <xdr:row>16</xdr:row>
      <xdr:rowOff>0</xdr:rowOff>
    </xdr:from>
    <xdr:to>
      <xdr:col>34</xdr:col>
      <xdr:colOff>324972</xdr:colOff>
      <xdr:row>29</xdr:row>
      <xdr:rowOff>190167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9DA6A9-1AA1-4E90-A18C-1A810C877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90" r="5359"/>
        <a:stretch/>
      </xdr:blipFill>
      <xdr:spPr>
        <a:xfrm>
          <a:off x="17570824" y="3048000"/>
          <a:ext cx="4426324" cy="2666667"/>
        </a:xfrm>
        <a:prstGeom prst="rect">
          <a:avLst/>
        </a:prstGeom>
      </xdr:spPr>
    </xdr:pic>
    <xdr:clientData/>
  </xdr:twoCellAnchor>
  <xdr:twoCellAnchor editAs="oneCell">
    <xdr:from>
      <xdr:col>27</xdr:col>
      <xdr:colOff>44821</xdr:colOff>
      <xdr:row>37</xdr:row>
      <xdr:rowOff>112058</xdr:rowOff>
    </xdr:from>
    <xdr:to>
      <xdr:col>36</xdr:col>
      <xdr:colOff>414616</xdr:colOff>
      <xdr:row>42</xdr:row>
      <xdr:rowOff>123264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FA4A67-A663-4921-AA91-B5B8044999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26" t="10253" r="2393" b="8533"/>
        <a:stretch/>
      </xdr:blipFill>
      <xdr:spPr>
        <a:xfrm>
          <a:off x="17481174" y="7160558"/>
          <a:ext cx="5815854" cy="963706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23</xdr:col>
      <xdr:colOff>599513</xdr:colOff>
      <xdr:row>1</xdr:row>
      <xdr:rowOff>45943</xdr:rowOff>
    </xdr:from>
    <xdr:to>
      <xdr:col>31</xdr:col>
      <xdr:colOff>330571</xdr:colOff>
      <xdr:row>15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EC80D-26CD-4272-9D14-3EE0A0DD1816}"/>
            </a:ext>
            <a:ext uri="{147F2762-F138-4A5C-976F-8EAC2B608ADB}">
              <a16:predDERef xmlns:a16="http://schemas.microsoft.com/office/drawing/2014/main" pred="{2DFA4A67-A663-4921-AA91-B5B80449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44824</xdr:colOff>
      <xdr:row>31</xdr:row>
      <xdr:rowOff>11206</xdr:rowOff>
    </xdr:from>
    <xdr:to>
      <xdr:col>32</xdr:col>
      <xdr:colOff>454021</xdr:colOff>
      <xdr:row>37</xdr:row>
      <xdr:rowOff>49366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B44855-259E-4C66-983F-387649A6C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177" y="5916706"/>
          <a:ext cx="3434785" cy="118116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168886</xdr:colOff>
      <xdr:row>36</xdr:row>
      <xdr:rowOff>136071</xdr:rowOff>
    </xdr:from>
    <xdr:to>
      <xdr:col>19</xdr:col>
      <xdr:colOff>836436</xdr:colOff>
      <xdr:row>51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58C6B-8F5C-45DF-9C7F-041A7A0E0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134425</xdr:colOff>
      <xdr:row>37</xdr:row>
      <xdr:rowOff>60033</xdr:rowOff>
    </xdr:from>
    <xdr:to>
      <xdr:col>2</xdr:col>
      <xdr:colOff>1210235</xdr:colOff>
      <xdr:row>52</xdr:row>
      <xdr:rowOff>64739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8BFB1E-7A7C-4CC7-9B59-A7B4B55A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425" y="7108533"/>
          <a:ext cx="2464539" cy="2862206"/>
        </a:xfrm>
        <a:prstGeom prst="rect">
          <a:avLst/>
        </a:prstGeom>
      </xdr:spPr>
    </xdr:pic>
    <xdr:clientData/>
  </xdr:twoCellAnchor>
  <xdr:twoCellAnchor editAs="oneCell">
    <xdr:from>
      <xdr:col>4</xdr:col>
      <xdr:colOff>28019</xdr:colOff>
      <xdr:row>37</xdr:row>
      <xdr:rowOff>120064</xdr:rowOff>
    </xdr:from>
    <xdr:to>
      <xdr:col>8</xdr:col>
      <xdr:colOff>196907</xdr:colOff>
      <xdr:row>51</xdr:row>
      <xdr:rowOff>119731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7EC83BB-BE2E-4428-907C-4AF41C503B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790" r="5359"/>
        <a:stretch/>
      </xdr:blipFill>
      <xdr:spPr>
        <a:xfrm>
          <a:off x="2626983" y="7168564"/>
          <a:ext cx="4427924" cy="2666667"/>
        </a:xfrm>
        <a:prstGeom prst="rect">
          <a:avLst/>
        </a:prstGeom>
      </xdr:spPr>
    </xdr:pic>
    <xdr:clientData/>
  </xdr:twoCellAnchor>
  <xdr:twoCellAnchor editAs="oneCell">
    <xdr:from>
      <xdr:col>19</xdr:col>
      <xdr:colOff>899118</xdr:colOff>
      <xdr:row>43</xdr:row>
      <xdr:rowOff>19257</xdr:rowOff>
    </xdr:from>
    <xdr:to>
      <xdr:col>27</xdr:col>
      <xdr:colOff>583319</xdr:colOff>
      <xdr:row>48</xdr:row>
      <xdr:rowOff>73270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CFCEB5-B1E3-4AD5-9786-23B5FDD78C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26" t="10253" r="2393" b="8533"/>
        <a:stretch/>
      </xdr:blipFill>
      <xdr:spPr>
        <a:xfrm>
          <a:off x="14883074" y="8120741"/>
          <a:ext cx="6019897" cy="996045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768714</xdr:colOff>
      <xdr:row>37</xdr:row>
      <xdr:rowOff>43962</xdr:rowOff>
    </xdr:from>
    <xdr:to>
      <xdr:col>13</xdr:col>
      <xdr:colOff>631894</xdr:colOff>
      <xdr:row>42</xdr:row>
      <xdr:rowOff>152820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8F2500-6A54-4786-B8C4-3AFEC685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59401" y="7015006"/>
          <a:ext cx="3081486" cy="105089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90917</xdr:colOff>
      <xdr:row>44</xdr:row>
      <xdr:rowOff>98554</xdr:rowOff>
    </xdr:from>
    <xdr:to>
      <xdr:col>12</xdr:col>
      <xdr:colOff>119196</xdr:colOff>
      <xdr:row>48</xdr:row>
      <xdr:rowOff>15173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7B29C3-9D81-4C1E-A3A5-0E338C4D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0631" y="8081411"/>
          <a:ext cx="1679279" cy="642333"/>
        </a:xfrm>
        <a:prstGeom prst="rect">
          <a:avLst/>
        </a:prstGeom>
      </xdr:spPr>
    </xdr:pic>
    <xdr:clientData/>
  </xdr:twoCellAnchor>
  <xdr:twoCellAnchor>
    <xdr:from>
      <xdr:col>14</xdr:col>
      <xdr:colOff>20410</xdr:colOff>
      <xdr:row>84</xdr:row>
      <xdr:rowOff>16329</xdr:rowOff>
    </xdr:from>
    <xdr:to>
      <xdr:col>19</xdr:col>
      <xdr:colOff>578303</xdr:colOff>
      <xdr:row>98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FFF2D-EADA-4068-AF7B-53E4E469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767602</xdr:colOff>
      <xdr:row>36</xdr:row>
      <xdr:rowOff>180413</xdr:rowOff>
    </xdr:from>
    <xdr:to>
      <xdr:col>34</xdr:col>
      <xdr:colOff>420220</xdr:colOff>
      <xdr:row>51</xdr:row>
      <xdr:rowOff>66113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EC9CA-2337-41F3-806A-E5DE10964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476249</xdr:colOff>
      <xdr:row>83</xdr:row>
      <xdr:rowOff>180413</xdr:rowOff>
    </xdr:from>
    <xdr:to>
      <xdr:col>13</xdr:col>
      <xdr:colOff>397808</xdr:colOff>
      <xdr:row>98</xdr:row>
      <xdr:rowOff>66113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11E1-B46D-4AE6-99DF-B43A2AC0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593912</xdr:colOff>
      <xdr:row>15</xdr:row>
      <xdr:rowOff>33617</xdr:rowOff>
    </xdr:from>
    <xdr:to>
      <xdr:col>40</xdr:col>
      <xdr:colOff>102996</xdr:colOff>
      <xdr:row>30</xdr:row>
      <xdr:rowOff>152449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289DF3C-8114-43B2-985D-B4C5820C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82177" y="2935941"/>
          <a:ext cx="4350024" cy="2976332"/>
        </a:xfrm>
        <a:prstGeom prst="rect">
          <a:avLst/>
        </a:prstGeom>
      </xdr:spPr>
    </xdr:pic>
    <xdr:clientData/>
  </xdr:twoCellAnchor>
  <xdr:twoCellAnchor editAs="oneCell">
    <xdr:from>
      <xdr:col>32</xdr:col>
      <xdr:colOff>605116</xdr:colOff>
      <xdr:row>31</xdr:row>
      <xdr:rowOff>78441</xdr:rowOff>
    </xdr:from>
    <xdr:to>
      <xdr:col>41</xdr:col>
      <xdr:colOff>292390</xdr:colOff>
      <xdr:row>35</xdr:row>
      <xdr:rowOff>135489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5FDFD6-CBDF-444A-9190-A06B9A09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493381" y="6028765"/>
          <a:ext cx="5133333" cy="819048"/>
        </a:xfrm>
        <a:prstGeom prst="rect">
          <a:avLst/>
        </a:prstGeom>
      </xdr:spPr>
    </xdr:pic>
    <xdr:clientData/>
  </xdr:twoCellAnchor>
  <xdr:twoCellAnchor editAs="oneCell">
    <xdr:from>
      <xdr:col>33</xdr:col>
      <xdr:colOff>224116</xdr:colOff>
      <xdr:row>9</xdr:row>
      <xdr:rowOff>0</xdr:rowOff>
    </xdr:from>
    <xdr:to>
      <xdr:col>37</xdr:col>
      <xdr:colOff>356027</xdr:colOff>
      <xdr:row>13</xdr:row>
      <xdr:rowOff>104667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88CF9FC-7E66-43C3-A6A7-6AAF8CDB4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717498" y="1759324"/>
          <a:ext cx="2552381" cy="866667"/>
        </a:xfrm>
        <a:prstGeom prst="rect">
          <a:avLst/>
        </a:prstGeom>
      </xdr:spPr>
    </xdr:pic>
    <xdr:clientData/>
  </xdr:twoCellAnchor>
  <xdr:twoCellAnchor editAs="oneCell">
    <xdr:from>
      <xdr:col>37</xdr:col>
      <xdr:colOff>414618</xdr:colOff>
      <xdr:row>9</xdr:row>
      <xdr:rowOff>56030</xdr:rowOff>
    </xdr:from>
    <xdr:to>
      <xdr:col>40</xdr:col>
      <xdr:colOff>18313</xdr:colOff>
      <xdr:row>13</xdr:row>
      <xdr:rowOff>94030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CED92A8-2A5C-4F8E-9EA1-271E83EF5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328471" y="1815354"/>
          <a:ext cx="1419048" cy="8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123262</xdr:colOff>
      <xdr:row>21</xdr:row>
      <xdr:rowOff>73190</xdr:rowOff>
    </xdr:from>
    <xdr:to>
      <xdr:col>49</xdr:col>
      <xdr:colOff>26365</xdr:colOff>
      <xdr:row>37</xdr:row>
      <xdr:rowOff>156882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33DC7B4-D294-41B5-B87E-838B067E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852468" y="4118514"/>
          <a:ext cx="5349163" cy="3131692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</xdr:colOff>
      <xdr:row>84</xdr:row>
      <xdr:rowOff>56029</xdr:rowOff>
    </xdr:from>
    <xdr:to>
      <xdr:col>4</xdr:col>
      <xdr:colOff>11206</xdr:colOff>
      <xdr:row>93</xdr:row>
      <xdr:rowOff>59164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280573A-B809-4DD2-AC30-4D57B1B3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8323" y="16147676"/>
          <a:ext cx="1938618" cy="1717635"/>
        </a:xfrm>
        <a:prstGeom prst="rect">
          <a:avLst/>
        </a:prstGeom>
      </xdr:spPr>
    </xdr:pic>
    <xdr:clientData/>
  </xdr:twoCellAnchor>
  <xdr:twoCellAnchor editAs="oneCell">
    <xdr:from>
      <xdr:col>2</xdr:col>
      <xdr:colOff>67234</xdr:colOff>
      <xdr:row>93</xdr:row>
      <xdr:rowOff>134469</xdr:rowOff>
    </xdr:from>
    <xdr:to>
      <xdr:col>5</xdr:col>
      <xdr:colOff>488576</xdr:colOff>
      <xdr:row>96</xdr:row>
      <xdr:rowOff>68350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632A279-DDEC-4C8B-B2E4-1F279F3B1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315" b="85964"/>
        <a:stretch/>
      </xdr:blipFill>
      <xdr:spPr>
        <a:xfrm>
          <a:off x="1434352" y="17940616"/>
          <a:ext cx="3009900" cy="505381"/>
        </a:xfrm>
        <a:prstGeom prst="rect">
          <a:avLst/>
        </a:prstGeom>
      </xdr:spPr>
    </xdr:pic>
    <xdr:clientData/>
  </xdr:twoCellAnchor>
  <xdr:twoCellAnchor editAs="oneCell">
    <xdr:from>
      <xdr:col>2</xdr:col>
      <xdr:colOff>138820</xdr:colOff>
      <xdr:row>96</xdr:row>
      <xdr:rowOff>32752</xdr:rowOff>
    </xdr:from>
    <xdr:to>
      <xdr:col>5</xdr:col>
      <xdr:colOff>481854</xdr:colOff>
      <xdr:row>98</xdr:row>
      <xdr:rowOff>5243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4BA660-C104-4D93-ACDB-05E9D56BBA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t="33217"/>
        <a:stretch/>
      </xdr:blipFill>
      <xdr:spPr>
        <a:xfrm>
          <a:off x="1505938" y="18410399"/>
          <a:ext cx="2931592" cy="353491"/>
        </a:xfrm>
        <a:prstGeom prst="rect">
          <a:avLst/>
        </a:prstGeom>
      </xdr:spPr>
    </xdr:pic>
    <xdr:clientData/>
  </xdr:twoCellAnchor>
  <xdr:twoCellAnchor>
    <xdr:from>
      <xdr:col>41</xdr:col>
      <xdr:colOff>42630</xdr:colOff>
      <xdr:row>89</xdr:row>
      <xdr:rowOff>1119</xdr:rowOff>
    </xdr:from>
    <xdr:to>
      <xdr:col>48</xdr:col>
      <xdr:colOff>369388</xdr:colOff>
      <xdr:row>103</xdr:row>
      <xdr:rowOff>77318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F6F6E7F-638C-4B9C-B5BF-1F97ABDA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67235</xdr:colOff>
      <xdr:row>100</xdr:row>
      <xdr:rowOff>179294</xdr:rowOff>
    </xdr:from>
    <xdr:to>
      <xdr:col>5</xdr:col>
      <xdr:colOff>697629</xdr:colOff>
      <xdr:row>105</xdr:row>
      <xdr:rowOff>36318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43EF97C-12D5-4A48-9CF3-0267BD41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2353" y="19318941"/>
          <a:ext cx="3980952" cy="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104</xdr:row>
      <xdr:rowOff>190499</xdr:rowOff>
    </xdr:from>
    <xdr:to>
      <xdr:col>9</xdr:col>
      <xdr:colOff>6609</xdr:colOff>
      <xdr:row>121</xdr:row>
      <xdr:rowOff>732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AEEB196-FD67-40F3-8A25-713A4A8F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4766" y="20092146"/>
          <a:ext cx="7603128" cy="3048733"/>
        </a:xfrm>
        <a:prstGeom prst="rect">
          <a:avLst/>
        </a:prstGeom>
      </xdr:spPr>
    </xdr:pic>
    <xdr:clientData/>
  </xdr:twoCellAnchor>
  <xdr:twoCellAnchor editAs="oneCell">
    <xdr:from>
      <xdr:col>33</xdr:col>
      <xdr:colOff>510759</xdr:colOff>
      <xdr:row>54</xdr:row>
      <xdr:rowOff>175036</xdr:rowOff>
    </xdr:from>
    <xdr:to>
      <xdr:col>39</xdr:col>
      <xdr:colOff>588310</xdr:colOff>
      <xdr:row>64</xdr:row>
      <xdr:rowOff>16145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7A163-721D-42F4-919C-2AD1D9A95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7056520" y="10693949"/>
          <a:ext cx="3721899" cy="17737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78442</xdr:colOff>
      <xdr:row>119</xdr:row>
      <xdr:rowOff>29694</xdr:rowOff>
    </xdr:from>
    <xdr:to>
      <xdr:col>8</xdr:col>
      <xdr:colOff>89648</xdr:colOff>
      <xdr:row>135</xdr:row>
      <xdr:rowOff>5114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B17B70-5AC0-4118-A229-01227BBD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42" y="22794444"/>
          <a:ext cx="5707156" cy="30234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78442</xdr:colOff>
      <xdr:row>119</xdr:row>
      <xdr:rowOff>29694</xdr:rowOff>
    </xdr:from>
    <xdr:to>
      <xdr:col>8</xdr:col>
      <xdr:colOff>89648</xdr:colOff>
      <xdr:row>135</xdr:row>
      <xdr:rowOff>5114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BB4EE-9A1B-4244-BF91-5A8C71AC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42" y="22699194"/>
          <a:ext cx="5707156" cy="30234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29</xdr:row>
          <xdr:rowOff>0</xdr:rowOff>
        </xdr:from>
        <xdr:to>
          <xdr:col>28</xdr:col>
          <xdr:colOff>6350</xdr:colOff>
          <xdr:row>30</xdr:row>
          <xdr:rowOff>6350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FC1965C4-2016-42CF-B9D4-C01E53F529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Y$13" spid="_x0000_s102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548350" y="5340350"/>
              <a:ext cx="6159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9ED-62F6-4064-B6B8-A0756CA2C097}">
  <dimension ref="A1:O34"/>
  <sheetViews>
    <sheetView topLeftCell="B7" zoomScaleNormal="100" workbookViewId="0">
      <selection activeCell="S28" sqref="S28"/>
    </sheetView>
  </sheetViews>
  <sheetFormatPr defaultRowHeight="14.5" x14ac:dyDescent="0.35"/>
  <cols>
    <col min="1" max="1" width="17.26953125" bestFit="1" customWidth="1"/>
    <col min="2" max="2" width="14.81640625" bestFit="1" customWidth="1"/>
    <col min="3" max="3" width="13.453125" bestFit="1" customWidth="1"/>
    <col min="4" max="4" width="12.1796875" customWidth="1"/>
    <col min="5" max="5" width="8.81640625" bestFit="1" customWidth="1"/>
    <col min="6" max="6" width="8.81640625" customWidth="1"/>
    <col min="7" max="7" width="9.453125" customWidth="1"/>
  </cols>
  <sheetData>
    <row r="1" spans="1:15" x14ac:dyDescent="0.3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3" spans="1:15" x14ac:dyDescent="0.35">
      <c r="A3" s="1" t="s">
        <v>1</v>
      </c>
      <c r="B3" s="1" t="s">
        <v>2</v>
      </c>
      <c r="C3" s="1" t="s">
        <v>3</v>
      </c>
    </row>
    <row r="4" spans="1:15" x14ac:dyDescent="0.35">
      <c r="A4" s="3" t="s">
        <v>4</v>
      </c>
      <c r="B4" s="2">
        <v>1.2250000000000001</v>
      </c>
      <c r="C4" s="2" t="s">
        <v>5</v>
      </c>
      <c r="I4" s="10" t="s">
        <v>6</v>
      </c>
      <c r="J4" s="10">
        <v>0.42</v>
      </c>
    </row>
    <row r="5" spans="1:15" x14ac:dyDescent="0.35">
      <c r="A5" s="3" t="s">
        <v>7</v>
      </c>
      <c r="B5" s="2">
        <v>90</v>
      </c>
      <c r="C5" s="2" t="s">
        <v>8</v>
      </c>
      <c r="I5" s="10" t="s">
        <v>9</v>
      </c>
      <c r="J5" s="10">
        <v>0.83599999999999997</v>
      </c>
    </row>
    <row r="6" spans="1:15" x14ac:dyDescent="0.35">
      <c r="A6" s="3" t="s">
        <v>10</v>
      </c>
      <c r="B6" s="4">
        <f>3.14159265*45*45</f>
        <v>6361.7251162499997</v>
      </c>
      <c r="C6" s="2" t="s">
        <v>11</v>
      </c>
      <c r="I6" s="10" t="s">
        <v>12</v>
      </c>
      <c r="J6" s="10">
        <v>0.97</v>
      </c>
    </row>
    <row r="7" spans="1:15" s="15" customFormat="1" ht="29" x14ac:dyDescent="0.35">
      <c r="A7" s="13" t="s">
        <v>6</v>
      </c>
      <c r="B7" s="16">
        <v>0.42</v>
      </c>
      <c r="C7" s="14" t="s">
        <v>13</v>
      </c>
      <c r="I7" s="17" t="s">
        <v>14</v>
      </c>
      <c r="J7" s="18">
        <f>J4*J5*J6</f>
        <v>0.34058639999999996</v>
      </c>
    </row>
    <row r="8" spans="1:15" x14ac:dyDescent="0.35">
      <c r="A8" s="3" t="s">
        <v>15</v>
      </c>
      <c r="B8" s="2">
        <v>4</v>
      </c>
      <c r="C8" s="2" t="s">
        <v>16</v>
      </c>
    </row>
    <row r="9" spans="1:15" x14ac:dyDescent="0.35">
      <c r="A9" s="3" t="s">
        <v>17</v>
      </c>
      <c r="B9" s="2">
        <v>25</v>
      </c>
      <c r="C9" s="2" t="s">
        <v>16</v>
      </c>
    </row>
    <row r="10" spans="1:15" x14ac:dyDescent="0.35">
      <c r="A10" s="3" t="s">
        <v>18</v>
      </c>
      <c r="B10" s="2">
        <v>10.7</v>
      </c>
      <c r="C10" s="2" t="s">
        <v>16</v>
      </c>
    </row>
    <row r="12" spans="1:15" ht="58" x14ac:dyDescent="0.35">
      <c r="A12" s="5" t="s">
        <v>19</v>
      </c>
      <c r="B12" s="6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  <c r="H12" s="5" t="s">
        <v>24</v>
      </c>
    </row>
    <row r="13" spans="1:15" x14ac:dyDescent="0.35">
      <c r="A13" s="7">
        <v>4</v>
      </c>
      <c r="B13" s="8">
        <f>0.5*B$4*B$6*A13*A13*A13</f>
        <v>249379.624557</v>
      </c>
      <c r="C13" s="8">
        <f>0.42*B13</f>
        <v>104739.44231394</v>
      </c>
      <c r="D13" s="8">
        <f t="shared" ref="D13:D34" si="0">MIN(2000000,C13)</f>
        <v>104739.44231394</v>
      </c>
      <c r="E13" s="10">
        <f t="shared" ref="E13:E34" si="1">J$5*C13</f>
        <v>87562.17377445384</v>
      </c>
      <c r="F13" s="10">
        <f>MIN(2000000,E13)</f>
        <v>87562.17377445384</v>
      </c>
      <c r="G13" s="10">
        <f t="shared" ref="G13:G34" si="2">J$6*E13</f>
        <v>84935.308561220227</v>
      </c>
      <c r="H13" s="10">
        <f>MIN(2000000,G13)</f>
        <v>84935.308561220227</v>
      </c>
    </row>
    <row r="14" spans="1:15" x14ac:dyDescent="0.35">
      <c r="A14" s="7">
        <v>5</v>
      </c>
      <c r="B14" s="8">
        <f>0.5*B$4*B$6*A14*A14*A14</f>
        <v>487069.57921289071</v>
      </c>
      <c r="C14" s="8">
        <f t="shared" ref="C14:C34" si="3">0.42*B14</f>
        <v>204569.2232694141</v>
      </c>
      <c r="D14" s="8">
        <f t="shared" si="0"/>
        <v>204569.2232694141</v>
      </c>
      <c r="E14" s="10">
        <f t="shared" si="1"/>
        <v>171019.87065323017</v>
      </c>
      <c r="F14" s="10">
        <f t="shared" ref="F14:F34" si="4">MIN(2000000,E14)</f>
        <v>171019.87065323017</v>
      </c>
      <c r="G14" s="10">
        <f t="shared" si="2"/>
        <v>165889.27453363326</v>
      </c>
      <c r="H14" s="10">
        <f t="shared" ref="H14:H34" si="5">MIN(2000000,G14)</f>
        <v>165889.27453363326</v>
      </c>
    </row>
    <row r="15" spans="1:15" x14ac:dyDescent="0.35">
      <c r="A15" s="7">
        <v>6</v>
      </c>
      <c r="B15" s="8">
        <f t="shared" ref="B15:B34" si="6">0.5*B$4*B$6*A15*A15*A15</f>
        <v>841656.23287987499</v>
      </c>
      <c r="C15" s="8">
        <f t="shared" si="3"/>
        <v>353495.61780954746</v>
      </c>
      <c r="D15" s="8">
        <f t="shared" si="0"/>
        <v>353495.61780954746</v>
      </c>
      <c r="E15" s="10">
        <f t="shared" si="1"/>
        <v>295522.33648878167</v>
      </c>
      <c r="F15" s="10">
        <f t="shared" si="4"/>
        <v>295522.33648878167</v>
      </c>
      <c r="G15" s="10">
        <f t="shared" si="2"/>
        <v>286656.66639411822</v>
      </c>
      <c r="H15" s="10">
        <f t="shared" si="5"/>
        <v>286656.66639411822</v>
      </c>
    </row>
    <row r="16" spans="1:15" x14ac:dyDescent="0.35">
      <c r="A16" s="7">
        <v>7</v>
      </c>
      <c r="B16" s="8">
        <f t="shared" si="6"/>
        <v>1336518.9253601718</v>
      </c>
      <c r="C16" s="8">
        <f t="shared" si="3"/>
        <v>561337.94865127211</v>
      </c>
      <c r="D16" s="8">
        <f t="shared" si="0"/>
        <v>561337.94865127211</v>
      </c>
      <c r="E16" s="10">
        <f t="shared" si="1"/>
        <v>469278.52507246344</v>
      </c>
      <c r="F16" s="10">
        <f t="shared" si="4"/>
        <v>469278.52507246344</v>
      </c>
      <c r="G16" s="10">
        <f t="shared" si="2"/>
        <v>455200.16932028951</v>
      </c>
      <c r="H16" s="10">
        <f t="shared" si="5"/>
        <v>455200.16932028951</v>
      </c>
    </row>
    <row r="17" spans="1:8" x14ac:dyDescent="0.35">
      <c r="A17" s="7">
        <v>8</v>
      </c>
      <c r="B17" s="8">
        <f t="shared" si="6"/>
        <v>1995036.996456</v>
      </c>
      <c r="C17" s="8">
        <f t="shared" si="3"/>
        <v>837915.53851152002</v>
      </c>
      <c r="D17" s="8">
        <f t="shared" si="0"/>
        <v>837915.53851152002</v>
      </c>
      <c r="E17" s="10">
        <f t="shared" si="1"/>
        <v>700497.39019563072</v>
      </c>
      <c r="F17" s="10">
        <f t="shared" si="4"/>
        <v>700497.39019563072</v>
      </c>
      <c r="G17" s="10">
        <f t="shared" si="2"/>
        <v>679482.46848976181</v>
      </c>
      <c r="H17" s="10">
        <f t="shared" si="5"/>
        <v>679482.46848976181</v>
      </c>
    </row>
    <row r="18" spans="1:8" x14ac:dyDescent="0.35">
      <c r="A18" s="7">
        <v>9</v>
      </c>
      <c r="B18" s="8">
        <f t="shared" si="6"/>
        <v>2840589.7859695782</v>
      </c>
      <c r="C18" s="8">
        <f t="shared" si="3"/>
        <v>1193047.7101072229</v>
      </c>
      <c r="D18" s="8">
        <f t="shared" si="0"/>
        <v>1193047.7101072229</v>
      </c>
      <c r="E18" s="10">
        <f t="shared" si="1"/>
        <v>997387.88564963825</v>
      </c>
      <c r="F18" s="10">
        <f t="shared" si="4"/>
        <v>997387.88564963825</v>
      </c>
      <c r="G18" s="10">
        <f t="shared" si="2"/>
        <v>967466.24908014911</v>
      </c>
      <c r="H18" s="10">
        <f t="shared" si="5"/>
        <v>967466.24908014911</v>
      </c>
    </row>
    <row r="19" spans="1:8" x14ac:dyDescent="0.35">
      <c r="A19" s="7">
        <v>10</v>
      </c>
      <c r="B19" s="8">
        <f t="shared" si="6"/>
        <v>3896556.6337031256</v>
      </c>
      <c r="C19" s="8">
        <f t="shared" si="3"/>
        <v>1636553.7861553128</v>
      </c>
      <c r="D19" s="8">
        <f t="shared" si="0"/>
        <v>1636553.7861553128</v>
      </c>
      <c r="E19" s="10">
        <f t="shared" si="1"/>
        <v>1368158.9652258414</v>
      </c>
      <c r="F19" s="10">
        <f t="shared" si="4"/>
        <v>1368158.9652258414</v>
      </c>
      <c r="G19" s="10">
        <f t="shared" si="2"/>
        <v>1327114.1962690661</v>
      </c>
      <c r="H19" s="10">
        <f t="shared" si="5"/>
        <v>1327114.1962690661</v>
      </c>
    </row>
    <row r="20" spans="1:8" x14ac:dyDescent="0.35">
      <c r="A20" s="7">
        <v>11</v>
      </c>
      <c r="B20" s="8">
        <f t="shared" si="6"/>
        <v>5186316.8794588596</v>
      </c>
      <c r="C20" s="8">
        <f t="shared" si="3"/>
        <v>2178253.089372721</v>
      </c>
      <c r="D20" s="8">
        <f t="shared" si="0"/>
        <v>2000000</v>
      </c>
      <c r="E20" s="10">
        <f t="shared" si="1"/>
        <v>1821019.5827155947</v>
      </c>
      <c r="F20" s="10">
        <f t="shared" si="4"/>
        <v>1821019.5827155947</v>
      </c>
      <c r="G20" s="10">
        <f t="shared" si="2"/>
        <v>1766388.9952341267</v>
      </c>
      <c r="H20" s="10">
        <f t="shared" si="5"/>
        <v>1766388.9952341267</v>
      </c>
    </row>
    <row r="21" spans="1:8" x14ac:dyDescent="0.35">
      <c r="A21" s="7">
        <v>12</v>
      </c>
      <c r="B21" s="8">
        <f t="shared" si="6"/>
        <v>6733249.863039</v>
      </c>
      <c r="C21" s="8">
        <f t="shared" si="3"/>
        <v>2827964.9424763797</v>
      </c>
      <c r="D21" s="8">
        <f t="shared" si="0"/>
        <v>2000000</v>
      </c>
      <c r="E21" s="10">
        <f t="shared" si="1"/>
        <v>2364178.6919102534</v>
      </c>
      <c r="F21" s="10">
        <f t="shared" si="4"/>
        <v>2000000</v>
      </c>
      <c r="G21" s="10">
        <f t="shared" si="2"/>
        <v>2293253.3311529458</v>
      </c>
      <c r="H21" s="10">
        <f t="shared" si="5"/>
        <v>2000000</v>
      </c>
    </row>
    <row r="22" spans="1:8" x14ac:dyDescent="0.35">
      <c r="A22" s="7">
        <v>13</v>
      </c>
      <c r="B22" s="8">
        <f t="shared" si="6"/>
        <v>8560734.9242457673</v>
      </c>
      <c r="C22" s="8">
        <f t="shared" si="3"/>
        <v>3595508.6681832219</v>
      </c>
      <c r="D22" s="8">
        <f t="shared" si="0"/>
        <v>2000000</v>
      </c>
      <c r="E22" s="10">
        <f t="shared" si="1"/>
        <v>3005845.2466011737</v>
      </c>
      <c r="F22" s="10">
        <f t="shared" si="4"/>
        <v>2000000</v>
      </c>
      <c r="G22" s="10">
        <f t="shared" si="2"/>
        <v>2915669.8892031382</v>
      </c>
      <c r="H22" s="10">
        <f t="shared" si="5"/>
        <v>2000000</v>
      </c>
    </row>
    <row r="23" spans="1:8" x14ac:dyDescent="0.35">
      <c r="A23" s="7">
        <v>14</v>
      </c>
      <c r="B23" s="8">
        <f t="shared" si="6"/>
        <v>10692151.402881375</v>
      </c>
      <c r="C23" s="8">
        <f t="shared" si="3"/>
        <v>4490703.5892101768</v>
      </c>
      <c r="D23" s="8">
        <f t="shared" si="0"/>
        <v>2000000</v>
      </c>
      <c r="E23" s="10">
        <f t="shared" si="1"/>
        <v>3754228.2005797075</v>
      </c>
      <c r="F23" s="10">
        <f t="shared" si="4"/>
        <v>2000000</v>
      </c>
      <c r="G23" s="10">
        <f t="shared" si="2"/>
        <v>3641601.3545623161</v>
      </c>
      <c r="H23" s="10">
        <f t="shared" si="5"/>
        <v>2000000</v>
      </c>
    </row>
    <row r="24" spans="1:8" x14ac:dyDescent="0.35">
      <c r="A24" s="7">
        <v>15</v>
      </c>
      <c r="B24" s="8">
        <f t="shared" si="6"/>
        <v>13150878.638748046</v>
      </c>
      <c r="C24" s="8">
        <f t="shared" si="3"/>
        <v>5523369.0282741794</v>
      </c>
      <c r="D24" s="8">
        <f t="shared" si="0"/>
        <v>2000000</v>
      </c>
      <c r="E24" s="10">
        <f t="shared" si="1"/>
        <v>4617536.5076372139</v>
      </c>
      <c r="F24" s="10">
        <f t="shared" si="4"/>
        <v>2000000</v>
      </c>
      <c r="G24" s="10">
        <f t="shared" si="2"/>
        <v>4479010.4124080976</v>
      </c>
      <c r="H24" s="10">
        <f t="shared" si="5"/>
        <v>2000000</v>
      </c>
    </row>
    <row r="25" spans="1:8" x14ac:dyDescent="0.35">
      <c r="A25" s="7">
        <v>16</v>
      </c>
      <c r="B25" s="8">
        <f t="shared" si="6"/>
        <v>15960295.971648</v>
      </c>
      <c r="C25" s="8">
        <f t="shared" si="3"/>
        <v>6703324.3080921602</v>
      </c>
      <c r="D25" s="8">
        <f t="shared" si="0"/>
        <v>2000000</v>
      </c>
      <c r="E25" s="10">
        <f t="shared" si="1"/>
        <v>5603979.1215650458</v>
      </c>
      <c r="F25" s="10">
        <f t="shared" si="4"/>
        <v>2000000</v>
      </c>
      <c r="G25" s="10">
        <f t="shared" si="2"/>
        <v>5435859.7479180945</v>
      </c>
      <c r="H25" s="10">
        <f t="shared" si="5"/>
        <v>2000000</v>
      </c>
    </row>
    <row r="26" spans="1:8" x14ac:dyDescent="0.35">
      <c r="A26" s="7">
        <v>17</v>
      </c>
      <c r="B26" s="8">
        <f t="shared" si="6"/>
        <v>19143782.741383452</v>
      </c>
      <c r="C26" s="8">
        <f t="shared" si="3"/>
        <v>8040388.7513810499</v>
      </c>
      <c r="D26" s="8">
        <f t="shared" si="0"/>
        <v>2000000</v>
      </c>
      <c r="E26" s="10">
        <f t="shared" si="1"/>
        <v>6721764.996154557</v>
      </c>
      <c r="F26" s="10">
        <f t="shared" si="4"/>
        <v>2000000</v>
      </c>
      <c r="G26" s="10">
        <f t="shared" si="2"/>
        <v>6520112.0462699197</v>
      </c>
      <c r="H26" s="10">
        <f t="shared" si="5"/>
        <v>2000000</v>
      </c>
    </row>
    <row r="27" spans="1:8" x14ac:dyDescent="0.35">
      <c r="A27" s="7">
        <v>18</v>
      </c>
      <c r="B27" s="8">
        <f t="shared" si="6"/>
        <v>22724718.287756626</v>
      </c>
      <c r="C27" s="8">
        <f t="shared" si="3"/>
        <v>9544381.6808577832</v>
      </c>
      <c r="D27" s="8">
        <f t="shared" si="0"/>
        <v>2000000</v>
      </c>
      <c r="E27" s="10">
        <f t="shared" si="1"/>
        <v>7979103.085197106</v>
      </c>
      <c r="F27" s="10">
        <f t="shared" si="4"/>
        <v>2000000</v>
      </c>
      <c r="G27" s="10">
        <f t="shared" si="2"/>
        <v>7739729.9926411929</v>
      </c>
      <c r="H27" s="10">
        <f t="shared" si="5"/>
        <v>2000000</v>
      </c>
    </row>
    <row r="28" spans="1:8" x14ac:dyDescent="0.35">
      <c r="A28" s="7">
        <v>19</v>
      </c>
      <c r="B28" s="8">
        <f t="shared" si="6"/>
        <v>26726481.950569734</v>
      </c>
      <c r="C28" s="8">
        <f t="shared" si="3"/>
        <v>11225122.419239288</v>
      </c>
      <c r="D28" s="8">
        <f t="shared" si="0"/>
        <v>2000000</v>
      </c>
      <c r="E28" s="10">
        <f t="shared" si="1"/>
        <v>9384202.3424840439</v>
      </c>
      <c r="F28" s="10">
        <f t="shared" si="4"/>
        <v>2000000</v>
      </c>
      <c r="G28" s="10">
        <f t="shared" si="2"/>
        <v>9102676.2722095232</v>
      </c>
      <c r="H28" s="10">
        <f t="shared" si="5"/>
        <v>2000000</v>
      </c>
    </row>
    <row r="29" spans="1:8" x14ac:dyDescent="0.35">
      <c r="A29" s="7">
        <v>20</v>
      </c>
      <c r="B29" s="8">
        <f t="shared" si="6"/>
        <v>31172453.069625005</v>
      </c>
      <c r="C29" s="8">
        <f t="shared" si="3"/>
        <v>13092430.289242502</v>
      </c>
      <c r="D29" s="8">
        <f t="shared" si="0"/>
        <v>2000000</v>
      </c>
      <c r="E29" s="10">
        <f t="shared" si="1"/>
        <v>10945271.721806731</v>
      </c>
      <c r="F29" s="10">
        <f t="shared" si="4"/>
        <v>2000000</v>
      </c>
      <c r="G29" s="10">
        <f t="shared" si="2"/>
        <v>10616913.570152529</v>
      </c>
      <c r="H29" s="10">
        <f t="shared" si="5"/>
        <v>2000000</v>
      </c>
    </row>
    <row r="30" spans="1:8" x14ac:dyDescent="0.35">
      <c r="A30" s="7">
        <v>21</v>
      </c>
      <c r="B30" s="8">
        <f t="shared" si="6"/>
        <v>36086010.984724641</v>
      </c>
      <c r="C30" s="8">
        <f t="shared" si="3"/>
        <v>15156124.613584349</v>
      </c>
      <c r="D30" s="8">
        <f t="shared" si="0"/>
        <v>2000000</v>
      </c>
      <c r="E30" s="10">
        <f t="shared" si="1"/>
        <v>12670520.176956516</v>
      </c>
      <c r="F30" s="10">
        <f t="shared" si="4"/>
        <v>2000000</v>
      </c>
      <c r="G30" s="10">
        <f t="shared" si="2"/>
        <v>12290404.571647819</v>
      </c>
      <c r="H30" s="10">
        <f t="shared" si="5"/>
        <v>2000000</v>
      </c>
    </row>
    <row r="31" spans="1:8" x14ac:dyDescent="0.35">
      <c r="A31" s="7">
        <v>22</v>
      </c>
      <c r="B31" s="8">
        <f t="shared" si="6"/>
        <v>41490535.035670877</v>
      </c>
      <c r="C31" s="8">
        <f t="shared" si="3"/>
        <v>17426024.714981768</v>
      </c>
      <c r="D31" s="8">
        <f t="shared" si="0"/>
        <v>2000000</v>
      </c>
      <c r="E31" s="10">
        <f t="shared" si="1"/>
        <v>14568156.661724757</v>
      </c>
      <c r="F31" s="10">
        <f t="shared" si="4"/>
        <v>2000000</v>
      </c>
      <c r="G31" s="10">
        <f t="shared" si="2"/>
        <v>14131111.961873014</v>
      </c>
      <c r="H31" s="10">
        <f t="shared" si="5"/>
        <v>2000000</v>
      </c>
    </row>
    <row r="32" spans="1:8" x14ac:dyDescent="0.35">
      <c r="A32" s="7">
        <v>23</v>
      </c>
      <c r="B32" s="8">
        <f t="shared" si="6"/>
        <v>47409404.562265925</v>
      </c>
      <c r="C32" s="8">
        <f t="shared" si="3"/>
        <v>19911949.916151688</v>
      </c>
      <c r="D32" s="8">
        <f t="shared" si="0"/>
        <v>2000000</v>
      </c>
      <c r="E32" s="10">
        <f t="shared" si="1"/>
        <v>16646390.12990281</v>
      </c>
      <c r="F32" s="10">
        <f t="shared" si="4"/>
        <v>2000000</v>
      </c>
      <c r="G32" s="10">
        <f t="shared" si="2"/>
        <v>16146998.426005725</v>
      </c>
      <c r="H32" s="10">
        <f t="shared" si="5"/>
        <v>2000000</v>
      </c>
    </row>
    <row r="33" spans="1:8" x14ac:dyDescent="0.35">
      <c r="A33" s="7">
        <v>24</v>
      </c>
      <c r="B33" s="8">
        <f t="shared" si="6"/>
        <v>53865998.904312</v>
      </c>
      <c r="C33" s="8">
        <f t="shared" si="3"/>
        <v>22623719.539811037</v>
      </c>
      <c r="D33" s="8">
        <f t="shared" si="0"/>
        <v>2000000</v>
      </c>
      <c r="E33" s="10">
        <f t="shared" si="1"/>
        <v>18913429.535282027</v>
      </c>
      <c r="F33" s="10">
        <f t="shared" si="4"/>
        <v>2000000</v>
      </c>
      <c r="G33" s="10">
        <f t="shared" si="2"/>
        <v>18346026.649223566</v>
      </c>
      <c r="H33" s="10">
        <f t="shared" si="5"/>
        <v>2000000</v>
      </c>
    </row>
    <row r="34" spans="1:8" x14ac:dyDescent="0.35">
      <c r="A34" s="7">
        <v>25</v>
      </c>
      <c r="B34" s="8">
        <f t="shared" si="6"/>
        <v>60883697.401611321</v>
      </c>
      <c r="C34" s="8">
        <f t="shared" si="3"/>
        <v>25571152.908676755</v>
      </c>
      <c r="D34" s="8">
        <f t="shared" si="0"/>
        <v>2000000</v>
      </c>
      <c r="E34" s="10">
        <f t="shared" si="1"/>
        <v>21377483.831653766</v>
      </c>
      <c r="F34" s="10">
        <f t="shared" si="4"/>
        <v>2000000</v>
      </c>
      <c r="G34" s="10">
        <f t="shared" si="2"/>
        <v>20736159.316704154</v>
      </c>
      <c r="H34" s="10">
        <f t="shared" si="5"/>
        <v>2000000</v>
      </c>
    </row>
  </sheetData>
  <mergeCells count="1">
    <mergeCell ref="A1:O1"/>
  </mergeCells>
  <pageMargins left="0.7" right="0.7" top="0.75" bottom="0.75" header="0.3" footer="0.3"/>
  <ignoredErrors>
    <ignoredError sqref="E13:E17 E18:E30 E31:E34 G13:G34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B8B-FD05-418C-B8C0-5454B7724FD5}">
  <dimension ref="A1:AW89"/>
  <sheetViews>
    <sheetView tabSelected="1" zoomScale="85" zoomScaleNormal="85" workbookViewId="0">
      <selection activeCell="AK24" sqref="AK24"/>
    </sheetView>
  </sheetViews>
  <sheetFormatPr defaultRowHeight="14.5" x14ac:dyDescent="0.35"/>
  <cols>
    <col min="1" max="1" width="14.7265625" bestFit="1" customWidth="1"/>
    <col min="8" max="8" width="13.26953125" bestFit="1" customWidth="1"/>
    <col min="11" max="11" width="12" bestFit="1" customWidth="1"/>
    <col min="21" max="21" width="12.453125" bestFit="1" customWidth="1"/>
    <col min="22" max="24" width="12.453125" customWidth="1"/>
    <col min="27" max="27" width="9.90625" bestFit="1" customWidth="1"/>
  </cols>
  <sheetData>
    <row r="1" spans="1:49" x14ac:dyDescent="0.35">
      <c r="A1" s="1" t="s">
        <v>36</v>
      </c>
      <c r="B1" s="83">
        <v>45</v>
      </c>
      <c r="D1" s="1" t="s">
        <v>194</v>
      </c>
      <c r="E1">
        <v>3</v>
      </c>
    </row>
    <row r="2" spans="1:49" x14ac:dyDescent="0.35">
      <c r="A2" s="1" t="s">
        <v>103</v>
      </c>
      <c r="B2" s="25">
        <f>13.5</f>
        <v>13.5</v>
      </c>
      <c r="D2" s="1" t="s">
        <v>123</v>
      </c>
      <c r="E2">
        <f>E1/2</f>
        <v>1.5</v>
      </c>
    </row>
    <row r="3" spans="1:49" x14ac:dyDescent="0.35">
      <c r="A3" s="1" t="s">
        <v>80</v>
      </c>
      <c r="B3" s="25">
        <f>(2*PI()*14.9)/60</f>
        <v>1.5603243512829306</v>
      </c>
      <c r="C3" s="25"/>
    </row>
    <row r="4" spans="1:49" x14ac:dyDescent="0.35">
      <c r="C4" s="73" t="s">
        <v>178</v>
      </c>
      <c r="D4" s="74" t="s">
        <v>177</v>
      </c>
      <c r="I4" t="s">
        <v>180</v>
      </c>
      <c r="J4" s="73" t="s">
        <v>178</v>
      </c>
      <c r="K4" s="74" t="s">
        <v>179</v>
      </c>
      <c r="L4" s="74" t="s">
        <v>177</v>
      </c>
      <c r="M4" s="74" t="s">
        <v>177</v>
      </c>
      <c r="N4" s="73" t="s">
        <v>178</v>
      </c>
      <c r="O4" s="74" t="s">
        <v>177</v>
      </c>
      <c r="P4" s="73" t="s">
        <v>178</v>
      </c>
      <c r="Q4" s="73" t="s">
        <v>178</v>
      </c>
      <c r="R4" s="74" t="s">
        <v>179</v>
      </c>
      <c r="S4" s="74" t="s">
        <v>179</v>
      </c>
      <c r="AV4" t="s">
        <v>225</v>
      </c>
      <c r="AW4">
        <f>1281786</f>
        <v>1281786</v>
      </c>
    </row>
    <row r="5" spans="1:49" x14ac:dyDescent="0.35">
      <c r="A5" t="s">
        <v>55</v>
      </c>
      <c r="B5" t="s">
        <v>116</v>
      </c>
      <c r="C5" s="73" t="s">
        <v>117</v>
      </c>
      <c r="D5" t="s">
        <v>117</v>
      </c>
      <c r="E5" t="s">
        <v>181</v>
      </c>
      <c r="F5" t="s">
        <v>176</v>
      </c>
      <c r="G5" t="s">
        <v>176</v>
      </c>
      <c r="H5" t="s">
        <v>82</v>
      </c>
      <c r="I5" s="75" t="s">
        <v>83</v>
      </c>
      <c r="J5" s="73" t="s">
        <v>91</v>
      </c>
      <c r="K5" s="74" t="s">
        <v>91</v>
      </c>
      <c r="L5" s="74" t="s">
        <v>75</v>
      </c>
      <c r="M5" s="74" t="s">
        <v>76</v>
      </c>
      <c r="N5" s="73" t="s">
        <v>175</v>
      </c>
      <c r="O5" s="74" t="s">
        <v>185</v>
      </c>
      <c r="P5" s="73" t="s">
        <v>182</v>
      </c>
      <c r="Q5" s="73" t="s">
        <v>186</v>
      </c>
      <c r="R5" s="74" t="s">
        <v>175</v>
      </c>
      <c r="S5" s="74" t="s">
        <v>182</v>
      </c>
      <c r="T5" s="77" t="s">
        <v>183</v>
      </c>
      <c r="U5" s="77" t="s">
        <v>184</v>
      </c>
      <c r="V5" s="73" t="s">
        <v>89</v>
      </c>
      <c r="W5" s="73" t="s">
        <v>90</v>
      </c>
      <c r="X5" s="73"/>
      <c r="AA5" s="41" t="s">
        <v>211</v>
      </c>
      <c r="AB5" s="41" t="s">
        <v>202</v>
      </c>
      <c r="AC5" s="41" t="s">
        <v>203</v>
      </c>
      <c r="AD5" s="41" t="s">
        <v>204</v>
      </c>
      <c r="AE5" s="41" t="s">
        <v>209</v>
      </c>
      <c r="AF5" s="41" t="s">
        <v>210</v>
      </c>
      <c r="AG5" s="41" t="s">
        <v>205</v>
      </c>
      <c r="AH5" s="41" t="s">
        <v>207</v>
      </c>
      <c r="AI5" s="41" t="s">
        <v>208</v>
      </c>
      <c r="AJ5" s="41" t="s">
        <v>213</v>
      </c>
      <c r="AK5" s="41" t="s">
        <v>206</v>
      </c>
      <c r="AL5" s="41" t="s">
        <v>212</v>
      </c>
      <c r="AM5" s="41" t="s">
        <v>214</v>
      </c>
      <c r="AN5" s="41" t="s">
        <v>215</v>
      </c>
      <c r="AO5" s="41" t="s">
        <v>216</v>
      </c>
      <c r="AP5" s="41" t="s">
        <v>217</v>
      </c>
      <c r="AQ5" s="41" t="s">
        <v>218</v>
      </c>
      <c r="AR5" s="41" t="s">
        <v>219</v>
      </c>
      <c r="AS5" s="41" t="s">
        <v>220</v>
      </c>
      <c r="AT5" s="41" t="s">
        <v>221</v>
      </c>
      <c r="AU5" s="41" t="s">
        <v>222</v>
      </c>
      <c r="AV5" s="73" t="s">
        <v>223</v>
      </c>
      <c r="AW5" s="88" t="s">
        <v>224</v>
      </c>
    </row>
    <row r="6" spans="1:49" x14ac:dyDescent="0.35">
      <c r="A6" s="21">
        <v>1.8</v>
      </c>
      <c r="B6">
        <f>A6*B$3</f>
        <v>2.8085838323092749</v>
      </c>
      <c r="C6" s="73">
        <f>((B6*B6)+(B$2*B$2))^(1/2)</f>
        <v>13.789058820061253</v>
      </c>
      <c r="D6">
        <v>13.789099999999999</v>
      </c>
      <c r="E6">
        <f>ATAN(B$2/B6)</f>
        <v>1.3656789733716781</v>
      </c>
      <c r="F6">
        <f t="shared" ref="F6:F30" si="0">(2*E6)/3</f>
        <v>0.9104526489144521</v>
      </c>
      <c r="G6">
        <f>DEGREES(F6)</f>
        <v>52.165094229304195</v>
      </c>
      <c r="H6" s="23">
        <v>3.65</v>
      </c>
      <c r="I6" s="22">
        <v>0</v>
      </c>
      <c r="J6" s="76">
        <f>G6-I6</f>
        <v>52.165094229304195</v>
      </c>
      <c r="K6">
        <v>52.165094229304202</v>
      </c>
      <c r="L6">
        <v>0</v>
      </c>
      <c r="M6">
        <v>0</v>
      </c>
      <c r="N6">
        <f>3*0.5*1.2*D6*D6*H6*L6*SIN(F6)</f>
        <v>0</v>
      </c>
      <c r="O6">
        <v>0.91045264891445199</v>
      </c>
      <c r="P6">
        <f>3*0.5*1.2*D6*D6*H6*M6</f>
        <v>0</v>
      </c>
      <c r="Q6">
        <f>P6*COS(F6)</f>
        <v>0</v>
      </c>
      <c r="R6">
        <v>0</v>
      </c>
      <c r="S6">
        <v>0</v>
      </c>
      <c r="T6">
        <f t="shared" ref="T6:T30" si="1">N6-R6</f>
        <v>0</v>
      </c>
      <c r="U6">
        <f>Q6-S6</f>
        <v>0</v>
      </c>
      <c r="V6">
        <f t="shared" ref="V6:V30" si="2">N6-Q6</f>
        <v>0</v>
      </c>
      <c r="W6">
        <f>V6*A6</f>
        <v>0</v>
      </c>
      <c r="X6">
        <v>0</v>
      </c>
      <c r="AA6" s="10">
        <v>13.5</v>
      </c>
      <c r="AB6" s="10">
        <v>1675965.9848893301</v>
      </c>
      <c r="AC6" s="10">
        <v>1671047.8509754799</v>
      </c>
      <c r="AD6" s="10">
        <v>1642981.90786759</v>
      </c>
      <c r="AE6" s="10">
        <v>1558766.6184158099</v>
      </c>
      <c r="AF6" s="10">
        <v>1470942.9371841</v>
      </c>
      <c r="AG6" s="87">
        <v>1383013.60640102</v>
      </c>
      <c r="AH6" s="10">
        <v>1152393.2056672701</v>
      </c>
      <c r="AI6" s="10">
        <v>1040716.92121381</v>
      </c>
      <c r="AJ6" s="10">
        <v>896342.80215000105</v>
      </c>
      <c r="AK6" s="10">
        <v>756847.44437594502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>
        <f>AW$4-AG6</f>
        <v>-101227.60640101996</v>
      </c>
    </row>
    <row r="7" spans="1:49" x14ac:dyDescent="0.35">
      <c r="A7" s="21">
        <v>3.6</v>
      </c>
      <c r="B7">
        <f t="shared" ref="B7:B30" si="3">A7*B$3</f>
        <v>5.6171676646185498</v>
      </c>
      <c r="C7" s="73">
        <f t="shared" ref="C7:C30" si="4">((B7*B7)+(B$2*B$2))^(1/2)</f>
        <v>14.621989350715456</v>
      </c>
      <c r="D7">
        <v>14.622</v>
      </c>
      <c r="E7">
        <f t="shared" ref="E7:E30" si="5">ATAN(B$2/B7)</f>
        <v>1.17649965748527</v>
      </c>
      <c r="F7">
        <f t="shared" si="0"/>
        <v>0.78433310499017994</v>
      </c>
      <c r="G7">
        <f t="shared" ref="G7:G30" si="6">DEGREES(F7)</f>
        <v>44.938976648328598</v>
      </c>
      <c r="H7" s="23">
        <v>4.43</v>
      </c>
      <c r="I7" s="22">
        <v>0</v>
      </c>
      <c r="J7" s="76">
        <f t="shared" ref="J7:J30" si="7">G7-I7</f>
        <v>44.938976648328598</v>
      </c>
      <c r="K7">
        <v>44.938976648328598</v>
      </c>
      <c r="L7">
        <v>0</v>
      </c>
      <c r="M7">
        <v>0</v>
      </c>
      <c r="N7">
        <f t="shared" ref="N7:N30" si="8">3*0.5*1.2*D7*D7*H7*L7*SIN(F7)</f>
        <v>0</v>
      </c>
      <c r="O7">
        <v>0.78433310499018005</v>
      </c>
      <c r="P7">
        <f t="shared" ref="P7:P30" si="9">3*0.5*1.2*D7*D7*H7*M7</f>
        <v>0</v>
      </c>
      <c r="Q7">
        <f t="shared" ref="Q7:Q30" si="10">P7*COS(F7)</f>
        <v>0</v>
      </c>
      <c r="R7">
        <v>0</v>
      </c>
      <c r="S7">
        <v>0</v>
      </c>
      <c r="T7">
        <f t="shared" si="1"/>
        <v>0</v>
      </c>
      <c r="U7">
        <f t="shared" ref="U7:U30" si="11">Q7-S7</f>
        <v>0</v>
      </c>
      <c r="V7">
        <f t="shared" si="2"/>
        <v>0</v>
      </c>
      <c r="W7">
        <f t="shared" ref="W7:W30" si="12">V7*A7</f>
        <v>0</v>
      </c>
      <c r="X7">
        <v>0</v>
      </c>
      <c r="AA7" s="10">
        <v>15</v>
      </c>
      <c r="AB7" s="10">
        <v>1829750.92120693</v>
      </c>
      <c r="AC7" s="10">
        <v>1903728.72034077</v>
      </c>
      <c r="AD7" s="10">
        <v>1906025.99367302</v>
      </c>
      <c r="AE7" s="10">
        <v>1872207.4116349199</v>
      </c>
      <c r="AF7" s="10">
        <v>1786267.7899258099</v>
      </c>
      <c r="AG7" s="10">
        <v>1680753.09025032</v>
      </c>
      <c r="AH7" s="10">
        <v>1449472.4237854001</v>
      </c>
      <c r="AI7" s="87">
        <v>1326658.8063465101</v>
      </c>
      <c r="AJ7" s="10">
        <v>1208040.46621317</v>
      </c>
      <c r="AK7" s="10">
        <v>1048545.50916211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>
        <f>AW4-AI7</f>
        <v>-44872.806346510071</v>
      </c>
    </row>
    <row r="8" spans="1:49" x14ac:dyDescent="0.35">
      <c r="A8" s="21">
        <v>5.4</v>
      </c>
      <c r="B8">
        <f t="shared" si="3"/>
        <v>8.4257514969278251</v>
      </c>
      <c r="C8" s="73">
        <f t="shared" si="4"/>
        <v>15.913619584745058</v>
      </c>
      <c r="D8">
        <v>15.9236</v>
      </c>
      <c r="E8">
        <f t="shared" si="5"/>
        <v>1.0128230608097182</v>
      </c>
      <c r="F8">
        <f t="shared" si="0"/>
        <v>0.67521537387314545</v>
      </c>
      <c r="G8">
        <f t="shared" si="6"/>
        <v>38.68699118527919</v>
      </c>
      <c r="H8" s="23">
        <v>4.5599999999999996</v>
      </c>
      <c r="I8" s="22">
        <v>24.068309347553296</v>
      </c>
      <c r="J8" s="76">
        <f t="shared" si="7"/>
        <v>14.618681837725894</v>
      </c>
      <c r="K8">
        <v>14.6169911852792</v>
      </c>
      <c r="L8">
        <v>1.29936490785143</v>
      </c>
      <c r="M8">
        <v>0.12153600987650499</v>
      </c>
      <c r="N8">
        <f t="shared" si="8"/>
        <v>1690.3494322137053</v>
      </c>
      <c r="O8">
        <v>0.67521537387314601</v>
      </c>
      <c r="P8">
        <f t="shared" si="9"/>
        <v>252.94426725013088</v>
      </c>
      <c r="Q8">
        <f t="shared" si="10"/>
        <v>197.44130021386442</v>
      </c>
      <c r="R8">
        <v>1688.2311797654099</v>
      </c>
      <c r="S8">
        <v>197.193877693052</v>
      </c>
      <c r="T8">
        <f t="shared" si="1"/>
        <v>2.1182524482953795</v>
      </c>
      <c r="U8">
        <f t="shared" si="11"/>
        <v>0.247422520812421</v>
      </c>
      <c r="V8">
        <f t="shared" si="2"/>
        <v>1492.9081319998409</v>
      </c>
      <c r="W8">
        <f t="shared" si="12"/>
        <v>8061.7039127991411</v>
      </c>
      <c r="X8">
        <v>8051.6014311907102</v>
      </c>
      <c r="AA8" s="10">
        <v>16</v>
      </c>
      <c r="AB8" s="10">
        <v>1881131.7247329699</v>
      </c>
      <c r="AC8" s="10">
        <v>2001369.61038441</v>
      </c>
      <c r="AD8" s="10">
        <v>2063015.2831232699</v>
      </c>
      <c r="AE8" s="10">
        <v>2057487.0682461499</v>
      </c>
      <c r="AF8" s="10">
        <v>2000954.0322717</v>
      </c>
      <c r="AG8" s="10">
        <v>1911180.51982952</v>
      </c>
      <c r="AH8" s="10">
        <v>1666095.7761215901</v>
      </c>
      <c r="AI8" s="10">
        <v>1533818.41852191</v>
      </c>
      <c r="AJ8" s="10">
        <v>1401383.2462198101</v>
      </c>
      <c r="AK8" s="87">
        <v>1271228.9865867901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>
        <f>AW4-AK8</f>
        <v>10557.013413209934</v>
      </c>
    </row>
    <row r="9" spans="1:49" x14ac:dyDescent="0.35">
      <c r="A9" s="21">
        <v>7.2</v>
      </c>
      <c r="B9">
        <f t="shared" si="3"/>
        <v>11.2343353292371</v>
      </c>
      <c r="C9" s="73">
        <f t="shared" si="4"/>
        <v>17.563037615678699</v>
      </c>
      <c r="D9">
        <v>17.562999999999999</v>
      </c>
      <c r="E9">
        <f t="shared" si="5"/>
        <v>0.87674323585047664</v>
      </c>
      <c r="F9">
        <f t="shared" si="0"/>
        <v>0.58449549056698447</v>
      </c>
      <c r="G9">
        <f t="shared" si="6"/>
        <v>33.489124753916833</v>
      </c>
      <c r="H9" s="23">
        <v>4.3600000000000003</v>
      </c>
      <c r="I9" s="22">
        <v>18.738824688718573</v>
      </c>
      <c r="J9" s="76">
        <f t="shared" si="7"/>
        <v>14.75030006519826</v>
      </c>
      <c r="K9">
        <v>14.749124753916799</v>
      </c>
      <c r="L9">
        <v>1.3004746124528099</v>
      </c>
      <c r="M9">
        <v>0.124025444390961</v>
      </c>
      <c r="N9">
        <f t="shared" si="8"/>
        <v>1737.0935363941255</v>
      </c>
      <c r="O9">
        <v>0.58449549056698402</v>
      </c>
      <c r="P9">
        <f t="shared" si="9"/>
        <v>300.23905802541765</v>
      </c>
      <c r="Q9">
        <f t="shared" si="10"/>
        <v>250.3965430098506</v>
      </c>
      <c r="R9">
        <v>1737.10097726668</v>
      </c>
      <c r="S9">
        <v>250.39761558811199</v>
      </c>
      <c r="T9">
        <f t="shared" si="1"/>
        <v>-7.4408725545254129E-3</v>
      </c>
      <c r="U9">
        <f t="shared" si="11"/>
        <v>-1.0725782613860702E-3</v>
      </c>
      <c r="V9">
        <f t="shared" si="2"/>
        <v>1486.6969933842749</v>
      </c>
      <c r="W9">
        <f t="shared" si="12"/>
        <v>10704.218352366779</v>
      </c>
      <c r="X9">
        <v>10704.264204085701</v>
      </c>
      <c r="AA9" s="10">
        <v>17</v>
      </c>
      <c r="AB9" s="10">
        <v>1908199.5629877099</v>
      </c>
      <c r="AC9" s="10">
        <v>2083940.9453072001</v>
      </c>
      <c r="AD9" s="10">
        <v>2180987.6995067601</v>
      </c>
      <c r="AE9" s="10">
        <v>2226225.40847005</v>
      </c>
      <c r="AF9" s="10">
        <v>2203861.9502286599</v>
      </c>
      <c r="AG9" s="10">
        <v>2128727.9903488699</v>
      </c>
      <c r="AH9" s="10">
        <v>1901672.19288419</v>
      </c>
      <c r="AI9" s="10">
        <v>1750549.2904388399</v>
      </c>
      <c r="AJ9" s="10">
        <v>1611137.8182457299</v>
      </c>
      <c r="AK9" s="10">
        <v>1475643.4335381801</v>
      </c>
      <c r="AL9" s="87">
        <v>1322569.15877109</v>
      </c>
      <c r="AM9" s="10">
        <v>1140520.9334589301</v>
      </c>
      <c r="AN9" s="10"/>
      <c r="AO9" s="10"/>
      <c r="AP9" s="10"/>
      <c r="AQ9" s="10"/>
      <c r="AR9" s="10"/>
      <c r="AS9" s="10"/>
      <c r="AT9" s="10"/>
      <c r="AU9" s="10"/>
      <c r="AV9" s="10"/>
      <c r="AW9">
        <f>AW4-AL9</f>
        <v>-40783.158771089977</v>
      </c>
    </row>
    <row r="10" spans="1:49" x14ac:dyDescent="0.35">
      <c r="A10" s="21">
        <v>9</v>
      </c>
      <c r="B10">
        <f t="shared" si="3"/>
        <v>14.042919161546376</v>
      </c>
      <c r="C10" s="73">
        <f t="shared" si="4"/>
        <v>19.479568233863048</v>
      </c>
      <c r="D10">
        <v>19.479600000000001</v>
      </c>
      <c r="E10">
        <f t="shared" si="5"/>
        <v>0.76568896492411953</v>
      </c>
      <c r="F10">
        <f t="shared" si="0"/>
        <v>0.51045930994941302</v>
      </c>
      <c r="G10">
        <f t="shared" si="6"/>
        <v>29.247164073261718</v>
      </c>
      <c r="H10" s="23">
        <v>4.03</v>
      </c>
      <c r="I10" s="22">
        <v>14.422461952041793</v>
      </c>
      <c r="J10" s="76">
        <f t="shared" si="7"/>
        <v>14.824702121219925</v>
      </c>
      <c r="K10">
        <v>14.8271640732617</v>
      </c>
      <c r="L10">
        <v>1.3011061445926599</v>
      </c>
      <c r="M10">
        <v>0.12549572765860401</v>
      </c>
      <c r="N10">
        <f t="shared" si="8"/>
        <v>1749.7834532787328</v>
      </c>
      <c r="O10">
        <v>0.51045930994941302</v>
      </c>
      <c r="P10">
        <f t="shared" si="9"/>
        <v>345.43517727288759</v>
      </c>
      <c r="Q10">
        <f t="shared" si="10"/>
        <v>301.39916682722134</v>
      </c>
      <c r="R10">
        <v>1749.7777464043099</v>
      </c>
      <c r="S10">
        <v>301.39818382147098</v>
      </c>
      <c r="T10">
        <f t="shared" si="1"/>
        <v>5.7068744229127333E-3</v>
      </c>
      <c r="U10">
        <f t="shared" si="11"/>
        <v>9.8300575035636939E-4</v>
      </c>
      <c r="V10">
        <f t="shared" si="2"/>
        <v>1448.3842864515116</v>
      </c>
      <c r="W10">
        <f t="shared" si="12"/>
        <v>13035.458578063604</v>
      </c>
      <c r="X10">
        <v>13035.4160632455</v>
      </c>
      <c r="AA10" s="10">
        <v>18</v>
      </c>
      <c r="AB10" s="10">
        <v>1901293.0386707401</v>
      </c>
      <c r="AC10" s="10">
        <v>2121983.65833771</v>
      </c>
      <c r="AD10" s="10">
        <v>2270110.25648219</v>
      </c>
      <c r="AE10" s="10">
        <v>2360080.0739523801</v>
      </c>
      <c r="AF10" s="10">
        <v>2387430.27825954</v>
      </c>
      <c r="AG10" s="10">
        <v>2339146.5310172699</v>
      </c>
      <c r="AH10" s="10">
        <v>2132929.6955015301</v>
      </c>
      <c r="AI10" s="10">
        <v>1996262.35056301</v>
      </c>
      <c r="AJ10" s="10">
        <v>1835327.78408204</v>
      </c>
      <c r="AK10" s="10">
        <v>1680400.08190232</v>
      </c>
      <c r="AL10" s="10">
        <v>1546321.29264644</v>
      </c>
      <c r="AM10" s="87">
        <v>1372700.9828139599</v>
      </c>
      <c r="AN10" s="10">
        <v>1178937.38278212</v>
      </c>
      <c r="AO10" s="10"/>
      <c r="AP10" s="10"/>
      <c r="AQ10" s="10"/>
      <c r="AR10" s="10"/>
      <c r="AS10" s="10"/>
      <c r="AT10" s="10"/>
      <c r="AU10" s="10"/>
      <c r="AV10" s="10"/>
      <c r="AW10">
        <f>AW4-AM10</f>
        <v>-90914.982813959941</v>
      </c>
    </row>
    <row r="11" spans="1:49" x14ac:dyDescent="0.35">
      <c r="A11" s="21">
        <v>10.8</v>
      </c>
      <c r="B11">
        <f t="shared" si="3"/>
        <v>16.85150299385565</v>
      </c>
      <c r="C11" s="73">
        <f t="shared" si="4"/>
        <v>21.592201211361616</v>
      </c>
      <c r="D11">
        <v>21.592199999999998</v>
      </c>
      <c r="E11">
        <f t="shared" si="5"/>
        <v>0.6754207462119286</v>
      </c>
      <c r="F11">
        <f t="shared" si="0"/>
        <v>0.45028049747461907</v>
      </c>
      <c r="G11">
        <f t="shared" si="6"/>
        <v>25.799172102346795</v>
      </c>
      <c r="H11" s="23">
        <v>3.68</v>
      </c>
      <c r="I11" s="22">
        <v>10.928413112634821</v>
      </c>
      <c r="J11" s="76">
        <f t="shared" si="7"/>
        <v>14.870758989711973</v>
      </c>
      <c r="K11">
        <v>14.8691721023468</v>
      </c>
      <c r="L11">
        <v>1.30144609400177</v>
      </c>
      <c r="M11">
        <v>0.126287171033417</v>
      </c>
      <c r="N11">
        <f t="shared" si="8"/>
        <v>1749.2312822787915</v>
      </c>
      <c r="O11">
        <v>0.45028049747461901</v>
      </c>
      <c r="P11">
        <f t="shared" si="9"/>
        <v>390.00784865378546</v>
      </c>
      <c r="Q11">
        <f t="shared" si="10"/>
        <v>351.13383981665788</v>
      </c>
      <c r="R11">
        <v>1749.2314785489</v>
      </c>
      <c r="S11">
        <v>351.13387921515101</v>
      </c>
      <c r="T11">
        <f t="shared" si="1"/>
        <v>-1.9627010851763771E-4</v>
      </c>
      <c r="U11">
        <f t="shared" si="11"/>
        <v>-3.9398493129283452E-5</v>
      </c>
      <c r="V11">
        <f t="shared" si="2"/>
        <v>1398.0974424621336</v>
      </c>
      <c r="W11">
        <f t="shared" si="12"/>
        <v>15099.452378591044</v>
      </c>
      <c r="X11">
        <v>15099.454072804499</v>
      </c>
      <c r="Y11" t="s">
        <v>228</v>
      </c>
      <c r="Z11" t="s">
        <v>229</v>
      </c>
      <c r="AA11" s="10">
        <v>19</v>
      </c>
      <c r="AB11" s="10">
        <v>1877205.8827744201</v>
      </c>
      <c r="AC11" s="10">
        <v>2130207.8393485998</v>
      </c>
      <c r="AD11" s="10">
        <v>2337289.2000860102</v>
      </c>
      <c r="AE11" s="10">
        <v>2460827.24966043</v>
      </c>
      <c r="AF11" s="10">
        <v>2537383.5723404</v>
      </c>
      <c r="AG11" s="10">
        <v>2543079.5746313101</v>
      </c>
      <c r="AH11" s="10">
        <v>2380038.5553196101</v>
      </c>
      <c r="AI11" s="10">
        <v>2250511.5351849901</v>
      </c>
      <c r="AJ11" s="10">
        <v>2084883.5336806099</v>
      </c>
      <c r="AK11" s="10">
        <v>1917158.1643026699</v>
      </c>
      <c r="AL11" s="10">
        <v>1753454.14100235</v>
      </c>
      <c r="AM11" s="10">
        <v>1602480.6309664799</v>
      </c>
      <c r="AN11" s="10">
        <v>1409597.3424496399</v>
      </c>
      <c r="AO11" s="87">
        <v>1209258.21786482</v>
      </c>
      <c r="AP11" s="10"/>
      <c r="AQ11" s="10"/>
      <c r="AR11" s="10"/>
      <c r="AS11" s="10"/>
      <c r="AT11" s="10"/>
      <c r="AU11" s="10"/>
      <c r="AV11" s="10"/>
      <c r="AW11">
        <f>AW4-AO11</f>
        <v>72527.782135179965</v>
      </c>
    </row>
    <row r="12" spans="1:49" x14ac:dyDescent="0.35">
      <c r="A12" s="51">
        <v>12.6</v>
      </c>
      <c r="B12">
        <f t="shared" si="3"/>
        <v>19.660086826164925</v>
      </c>
      <c r="C12" s="73">
        <f t="shared" si="4"/>
        <v>23.848878674108423</v>
      </c>
      <c r="D12">
        <v>23.8489</v>
      </c>
      <c r="E12">
        <f t="shared" si="5"/>
        <v>0.6017238030146238</v>
      </c>
      <c r="F12">
        <f t="shared" si="0"/>
        <v>0.40114920200974918</v>
      </c>
      <c r="G12">
        <f t="shared" si="6"/>
        <v>22.98415623019951</v>
      </c>
      <c r="H12" s="23">
        <v>3.35</v>
      </c>
      <c r="I12" s="22">
        <v>8.0830414054126116</v>
      </c>
      <c r="J12" s="76">
        <f t="shared" si="7"/>
        <v>14.901114824786898</v>
      </c>
      <c r="K12">
        <v>14.904156230199501</v>
      </c>
      <c r="L12">
        <v>1.3017292025848399</v>
      </c>
      <c r="M12">
        <v>0.12694628208470199</v>
      </c>
      <c r="N12">
        <f t="shared" si="8"/>
        <v>1743.2900239315215</v>
      </c>
      <c r="O12">
        <v>0.40114920200974902</v>
      </c>
      <c r="P12">
        <f t="shared" si="9"/>
        <v>435.38554216455577</v>
      </c>
      <c r="Q12">
        <f t="shared" si="10"/>
        <v>400.8215315925512</v>
      </c>
      <c r="R12">
        <v>1743.28690620304</v>
      </c>
      <c r="S12">
        <v>400.82081475674602</v>
      </c>
      <c r="T12">
        <f t="shared" si="1"/>
        <v>3.1177284815839812E-3</v>
      </c>
      <c r="U12">
        <f t="shared" si="11"/>
        <v>7.1683580517856171E-4</v>
      </c>
      <c r="V12">
        <f t="shared" si="2"/>
        <v>1342.4684923389705</v>
      </c>
      <c r="W12">
        <f t="shared" si="12"/>
        <v>16915.103003471027</v>
      </c>
      <c r="X12">
        <v>16915.072752223299</v>
      </c>
      <c r="Y12">
        <v>1273983.6094391099</v>
      </c>
      <c r="Z12">
        <f>(2*PI()*14.9*Y12)/60</f>
        <v>1987827.6489431658</v>
      </c>
      <c r="AA12" s="10">
        <v>20</v>
      </c>
      <c r="AB12" s="10">
        <v>1837079.44554557</v>
      </c>
      <c r="AC12" s="10">
        <v>2113154.3970802198</v>
      </c>
      <c r="AD12" s="10">
        <v>2362854.6329638301</v>
      </c>
      <c r="AE12" s="10">
        <v>2541327.3271469302</v>
      </c>
      <c r="AF12" s="10">
        <v>2658671.1769183199</v>
      </c>
      <c r="AG12" s="10">
        <v>2712887.3635213799</v>
      </c>
      <c r="AH12" s="10">
        <v>2612432.1754602701</v>
      </c>
      <c r="AI12" s="10">
        <v>2489357.0137595301</v>
      </c>
      <c r="AJ12" s="10">
        <v>2350863.4001732902</v>
      </c>
      <c r="AK12" s="10">
        <v>2170287.5613859501</v>
      </c>
      <c r="AL12" s="10">
        <v>1984417.56644896</v>
      </c>
      <c r="AM12" s="10">
        <v>1827639.6835950499</v>
      </c>
      <c r="AN12" s="10">
        <v>1650405.6914518501</v>
      </c>
      <c r="AO12" s="10">
        <v>1445297.4180685</v>
      </c>
      <c r="AP12" s="87">
        <v>1240291.1411183299</v>
      </c>
      <c r="AQ12" s="10"/>
      <c r="AR12" s="10"/>
      <c r="AS12" s="10"/>
      <c r="AT12" s="10"/>
      <c r="AU12" s="10"/>
      <c r="AV12" s="10"/>
      <c r="AW12">
        <f>AW4-AP12</f>
        <v>41494.85888167005</v>
      </c>
    </row>
    <row r="13" spans="1:49" x14ac:dyDescent="0.35">
      <c r="A13" s="21">
        <v>14.4</v>
      </c>
      <c r="B13">
        <f t="shared" si="3"/>
        <v>22.468670658474199</v>
      </c>
      <c r="C13" s="73">
        <f t="shared" si="4"/>
        <v>26.212423794051922</v>
      </c>
      <c r="D13">
        <v>26.212399999999999</v>
      </c>
      <c r="E13">
        <f t="shared" si="5"/>
        <v>0.54103443059438272</v>
      </c>
      <c r="F13">
        <f t="shared" si="0"/>
        <v>0.36068962039625513</v>
      </c>
      <c r="G13">
        <f t="shared" si="6"/>
        <v>20.665992962881194</v>
      </c>
      <c r="H13" s="23">
        <v>3.05</v>
      </c>
      <c r="I13" s="22">
        <v>5.7439007119805012</v>
      </c>
      <c r="J13" s="76">
        <f t="shared" si="7"/>
        <v>14.922092250900693</v>
      </c>
      <c r="K13">
        <v>14.9259929628812</v>
      </c>
      <c r="L13">
        <v>1.30190591604971</v>
      </c>
      <c r="M13">
        <v>0.127357692421842</v>
      </c>
      <c r="N13">
        <f t="shared" si="8"/>
        <v>1733.1703509981098</v>
      </c>
      <c r="O13">
        <v>0.36068962039625502</v>
      </c>
      <c r="P13">
        <f t="shared" si="9"/>
        <v>480.40896060635004</v>
      </c>
      <c r="Q13">
        <f t="shared" si="10"/>
        <v>449.49640500517029</v>
      </c>
      <c r="R13">
        <v>1733.1734975367001</v>
      </c>
      <c r="S13">
        <v>449.497221057545</v>
      </c>
      <c r="T13">
        <f t="shared" si="1"/>
        <v>-3.14653859027203E-3</v>
      </c>
      <c r="U13">
        <f t="shared" si="11"/>
        <v>-8.1605237471649161E-4</v>
      </c>
      <c r="V13">
        <f t="shared" si="2"/>
        <v>1283.6739459929395</v>
      </c>
      <c r="W13">
        <f t="shared" si="12"/>
        <v>18484.904822298329</v>
      </c>
      <c r="X13">
        <v>18484.9383812999</v>
      </c>
      <c r="Y13">
        <v>848422.12895366701</v>
      </c>
      <c r="Z13">
        <f>(2*PI()*14.9*Y13)/60</f>
        <v>1323813.7079737135</v>
      </c>
      <c r="AA13" s="10">
        <v>21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>
        <v>1472876.85999934</v>
      </c>
      <c r="AQ13" s="87">
        <v>1266473.81973272</v>
      </c>
      <c r="AR13" s="10"/>
      <c r="AS13" s="10"/>
      <c r="AT13" s="10"/>
      <c r="AU13" s="10"/>
      <c r="AV13" s="10"/>
      <c r="AW13">
        <f>AW4-AQ13</f>
        <v>15312.180267279968</v>
      </c>
    </row>
    <row r="14" spans="1:49" x14ac:dyDescent="0.35">
      <c r="A14" s="21">
        <v>16.2</v>
      </c>
      <c r="B14">
        <f t="shared" si="3"/>
        <v>25.277254490783474</v>
      </c>
      <c r="C14" s="73">
        <f t="shared" si="4"/>
        <v>28.65640582124411</v>
      </c>
      <c r="D14">
        <v>28.656400000000001</v>
      </c>
      <c r="E14">
        <f t="shared" si="5"/>
        <v>0.49053611910771605</v>
      </c>
      <c r="F14">
        <f t="shared" si="0"/>
        <v>0.32702407940514405</v>
      </c>
      <c r="G14">
        <f t="shared" si="6"/>
        <v>18.73709954906586</v>
      </c>
      <c r="H14" s="23">
        <v>2.79</v>
      </c>
      <c r="I14" s="22">
        <v>5.7999559435080918</v>
      </c>
      <c r="J14" s="76">
        <f t="shared" si="7"/>
        <v>12.937143605557768</v>
      </c>
      <c r="K14">
        <v>12.9370995490659</v>
      </c>
      <c r="L14">
        <v>1.5457014236336899</v>
      </c>
      <c r="M14">
        <v>3.9293202548207298E-2</v>
      </c>
      <c r="N14">
        <f t="shared" si="8"/>
        <v>2047.6541476943596</v>
      </c>
      <c r="O14">
        <v>0.327024079405144</v>
      </c>
      <c r="P14">
        <f t="shared" si="9"/>
        <v>162.04565723771861</v>
      </c>
      <c r="Q14">
        <f t="shared" si="10"/>
        <v>153.45763916481451</v>
      </c>
      <c r="R14">
        <v>2047.65497961294</v>
      </c>
      <c r="S14">
        <v>153.457701511408</v>
      </c>
      <c r="T14">
        <f t="shared" si="1"/>
        <v>-8.3191858038844657E-4</v>
      </c>
      <c r="U14">
        <f t="shared" si="11"/>
        <v>-6.2346593495021807E-5</v>
      </c>
      <c r="V14">
        <f t="shared" si="2"/>
        <v>1894.1965085295451</v>
      </c>
      <c r="W14">
        <f t="shared" si="12"/>
        <v>30685.983438178628</v>
      </c>
      <c r="X14">
        <v>30685.995905244799</v>
      </c>
      <c r="AA14" s="10">
        <v>22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>
        <v>1498572.4041828499</v>
      </c>
      <c r="AR14" s="87">
        <v>1280533.5470213001</v>
      </c>
      <c r="AS14" s="10"/>
      <c r="AT14" s="10"/>
      <c r="AU14" s="10"/>
      <c r="AV14" s="10"/>
      <c r="AW14">
        <f>AW4-AR14</f>
        <v>1252.4529786999337</v>
      </c>
    </row>
    <row r="15" spans="1:49" x14ac:dyDescent="0.35">
      <c r="A15" s="21">
        <v>18</v>
      </c>
      <c r="B15">
        <f t="shared" si="3"/>
        <v>28.085838323092752</v>
      </c>
      <c r="C15" s="73">
        <f t="shared" si="4"/>
        <v>31.161904856906702</v>
      </c>
      <c r="D15">
        <v>31.161899999999999</v>
      </c>
      <c r="E15">
        <f t="shared" si="5"/>
        <v>0.44806379541365271</v>
      </c>
      <c r="F15">
        <f t="shared" si="0"/>
        <v>0.29870919694243514</v>
      </c>
      <c r="G15">
        <f t="shared" si="6"/>
        <v>17.114776286543648</v>
      </c>
      <c r="H15" s="23">
        <v>2.56</v>
      </c>
      <c r="I15" s="22">
        <v>4.1664967617573296</v>
      </c>
      <c r="J15" s="76">
        <f t="shared" si="7"/>
        <v>12.948279524786319</v>
      </c>
      <c r="K15">
        <v>12.9447762865436</v>
      </c>
      <c r="L15">
        <v>1.5460055932627801</v>
      </c>
      <c r="M15">
        <v>3.9347740430610401E-2</v>
      </c>
      <c r="N15">
        <f t="shared" si="8"/>
        <v>2035.8331745290679</v>
      </c>
      <c r="O15">
        <v>0.29870919694243497</v>
      </c>
      <c r="P15">
        <f t="shared" si="9"/>
        <v>176.06787688091529</v>
      </c>
      <c r="Q15">
        <f t="shared" si="10"/>
        <v>168.27108976828293</v>
      </c>
      <c r="R15">
        <v>2035.83380914073</v>
      </c>
      <c r="S15">
        <v>168.27114222189101</v>
      </c>
      <c r="T15">
        <f t="shared" si="1"/>
        <v>-6.346116620079556E-4</v>
      </c>
      <c r="U15">
        <f t="shared" si="11"/>
        <v>-5.2453608077485114E-5</v>
      </c>
      <c r="V15">
        <f t="shared" si="2"/>
        <v>1867.562084760785</v>
      </c>
      <c r="W15">
        <f t="shared" si="12"/>
        <v>33616.117525694128</v>
      </c>
      <c r="X15">
        <v>33616.128004539103</v>
      </c>
      <c r="AA15" s="10">
        <v>23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>
        <v>1522946.7208499101</v>
      </c>
      <c r="AS15" s="87">
        <v>1283545.03457231</v>
      </c>
      <c r="AT15" s="10"/>
      <c r="AU15" s="10"/>
      <c r="AV15" s="10"/>
      <c r="AW15">
        <f>AW4-AS15</f>
        <v>-1759.0345723100472</v>
      </c>
    </row>
    <row r="16" spans="1:49" x14ac:dyDescent="0.35">
      <c r="A16" s="21">
        <v>19.8</v>
      </c>
      <c r="B16">
        <f t="shared" si="3"/>
        <v>30.894422155402026</v>
      </c>
      <c r="C16" s="73">
        <f t="shared" si="4"/>
        <v>33.715209035629535</v>
      </c>
      <c r="D16">
        <v>33.715200000000003</v>
      </c>
      <c r="E16">
        <f t="shared" si="5"/>
        <v>0.4119672515422797</v>
      </c>
      <c r="F16">
        <f t="shared" si="0"/>
        <v>0.27464483436151982</v>
      </c>
      <c r="G16">
        <f t="shared" si="6"/>
        <v>15.735989873984655</v>
      </c>
      <c r="H16" s="23">
        <v>2.37</v>
      </c>
      <c r="I16" s="22">
        <v>2.77925829627155</v>
      </c>
      <c r="J16" s="76">
        <f t="shared" si="7"/>
        <v>12.956731577713105</v>
      </c>
      <c r="K16">
        <v>12.9559898739847</v>
      </c>
      <c r="L16">
        <v>1.5463841108957801</v>
      </c>
      <c r="M16">
        <v>3.9427405172949799E-2</v>
      </c>
      <c r="N16">
        <f t="shared" si="8"/>
        <v>2033.7031515963497</v>
      </c>
      <c r="O16">
        <v>0.27464483436151998</v>
      </c>
      <c r="P16">
        <f t="shared" si="9"/>
        <v>191.19235716611482</v>
      </c>
      <c r="Q16">
        <f t="shared" si="10"/>
        <v>184.02676990726977</v>
      </c>
      <c r="R16">
        <v>2033.7042416560701</v>
      </c>
      <c r="S16">
        <v>184.02686854515099</v>
      </c>
      <c r="T16">
        <f t="shared" si="1"/>
        <v>-1.0900597203544748E-3</v>
      </c>
      <c r="U16">
        <f t="shared" si="11"/>
        <v>-9.8637881222884971E-5</v>
      </c>
      <c r="V16">
        <f t="shared" si="2"/>
        <v>1849.67638168908</v>
      </c>
      <c r="W16">
        <f t="shared" si="12"/>
        <v>36623.592357443784</v>
      </c>
      <c r="X16">
        <v>36623.611987596203</v>
      </c>
      <c r="AA16" s="10">
        <v>24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>
        <v>1532354.8356799299</v>
      </c>
      <c r="AT16" s="87">
        <v>1274022.66104226</v>
      </c>
      <c r="AU16" s="10">
        <v>988622.78321308503</v>
      </c>
      <c r="AV16" s="10"/>
      <c r="AW16">
        <f>AW4-AT16</f>
        <v>7763.3389577399939</v>
      </c>
    </row>
    <row r="17" spans="1:49" x14ac:dyDescent="0.35">
      <c r="A17" s="21">
        <v>21.6</v>
      </c>
      <c r="B17">
        <f t="shared" si="3"/>
        <v>33.7030059877113</v>
      </c>
      <c r="C17" s="73">
        <f t="shared" si="4"/>
        <v>36.306233798174439</v>
      </c>
      <c r="D17">
        <v>36.306199999999997</v>
      </c>
      <c r="E17">
        <f t="shared" si="5"/>
        <v>0.38098709727677871</v>
      </c>
      <c r="F17">
        <f t="shared" si="0"/>
        <v>0.25399139818451916</v>
      </c>
      <c r="G17">
        <f t="shared" si="6"/>
        <v>14.552635148599707</v>
      </c>
      <c r="H17" s="23">
        <v>2.19</v>
      </c>
      <c r="I17" s="22">
        <v>1.5893494542190449</v>
      </c>
      <c r="J17" s="76">
        <f t="shared" si="7"/>
        <v>12.963285694380662</v>
      </c>
      <c r="K17">
        <v>12.9626351485997</v>
      </c>
      <c r="L17">
        <v>1.54658890037462</v>
      </c>
      <c r="M17">
        <v>3.9474615228854502E-2</v>
      </c>
      <c r="N17">
        <f t="shared" si="8"/>
        <v>2019.2612868506933</v>
      </c>
      <c r="O17">
        <v>0.25399139818451899</v>
      </c>
      <c r="P17">
        <f t="shared" si="9"/>
        <v>205.11438390529821</v>
      </c>
      <c r="Q17">
        <f t="shared" si="10"/>
        <v>198.53374397092364</v>
      </c>
      <c r="R17">
        <v>2019.26504639463</v>
      </c>
      <c r="S17">
        <v>198.53411360923499</v>
      </c>
      <c r="T17">
        <f t="shared" si="1"/>
        <v>-3.759543936666887E-3</v>
      </c>
      <c r="U17">
        <f t="shared" si="11"/>
        <v>-3.6963831135494729E-4</v>
      </c>
      <c r="V17">
        <f t="shared" si="2"/>
        <v>1820.7275428797698</v>
      </c>
      <c r="W17">
        <f t="shared" si="12"/>
        <v>39327.714926203029</v>
      </c>
      <c r="X17">
        <v>39327.788148164604</v>
      </c>
      <c r="AA17" s="10">
        <v>25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>
        <v>1527528.6879177</v>
      </c>
      <c r="AU17" s="87">
        <v>1246051.51449535</v>
      </c>
      <c r="AV17" s="10">
        <v>931051.60298600502</v>
      </c>
      <c r="AW17">
        <f>AW4-AU17</f>
        <v>35734.485504650045</v>
      </c>
    </row>
    <row r="18" spans="1:49" x14ac:dyDescent="0.35">
      <c r="A18" s="21">
        <v>23.4</v>
      </c>
      <c r="B18">
        <f t="shared" si="3"/>
        <v>36.511589820020575</v>
      </c>
      <c r="C18" s="73">
        <f t="shared" si="4"/>
        <v>38.927447786689406</v>
      </c>
      <c r="D18">
        <v>38.927399999999999</v>
      </c>
      <c r="E18">
        <f t="shared" si="5"/>
        <v>0.35415614180776706</v>
      </c>
      <c r="F18">
        <f t="shared" si="0"/>
        <v>0.23610409453851136</v>
      </c>
      <c r="G18">
        <f t="shared" si="6"/>
        <v>13.527768142814491</v>
      </c>
      <c r="H18" s="23">
        <v>2.04</v>
      </c>
      <c r="I18" s="22">
        <v>0.5593074481554936</v>
      </c>
      <c r="J18" s="76">
        <f t="shared" si="7"/>
        <v>12.968460694658997</v>
      </c>
      <c r="K18">
        <v>12.967768142814499</v>
      </c>
      <c r="L18">
        <v>1.5467470854416101</v>
      </c>
      <c r="M18">
        <v>3.9511081583952903E-2</v>
      </c>
      <c r="N18">
        <f t="shared" si="8"/>
        <v>2013.2318881670478</v>
      </c>
      <c r="O18">
        <v>0.236104094538511</v>
      </c>
      <c r="P18">
        <f t="shared" si="9"/>
        <v>219.85299500264517</v>
      </c>
      <c r="Q18">
        <f t="shared" si="10"/>
        <v>213.75354036158902</v>
      </c>
      <c r="R18">
        <v>2013.2368309963199</v>
      </c>
      <c r="S18">
        <v>213.754065163159</v>
      </c>
      <c r="T18">
        <f t="shared" si="1"/>
        <v>-4.9428292720676836E-3</v>
      </c>
      <c r="U18">
        <f t="shared" si="11"/>
        <v>-5.2480156998058192E-4</v>
      </c>
      <c r="V18">
        <f t="shared" si="2"/>
        <v>1799.4783478054587</v>
      </c>
      <c r="W18">
        <f t="shared" si="12"/>
        <v>42107.793338647731</v>
      </c>
      <c r="X18">
        <v>42107.896720495999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9" x14ac:dyDescent="0.35">
      <c r="A19" s="21">
        <v>25.2</v>
      </c>
      <c r="B19">
        <f t="shared" si="3"/>
        <v>39.320173652329849</v>
      </c>
      <c r="C19" s="73">
        <f t="shared" si="4"/>
        <v>41.573141041414885</v>
      </c>
      <c r="D19">
        <v>41.573099999999997</v>
      </c>
      <c r="E19">
        <f t="shared" si="5"/>
        <v>0.33072507133707635</v>
      </c>
      <c r="F19">
        <f t="shared" si="0"/>
        <v>0.22048338089138422</v>
      </c>
      <c r="G19">
        <f t="shared" si="6"/>
        <v>12.632767177851699</v>
      </c>
      <c r="H19" s="23">
        <v>1.91</v>
      </c>
      <c r="I19" s="22">
        <v>-0.33984153736750855</v>
      </c>
      <c r="J19" s="76">
        <f t="shared" si="7"/>
        <v>12.972608715219208</v>
      </c>
      <c r="K19">
        <v>12.972767177851701</v>
      </c>
      <c r="L19">
        <v>1.54690114224728</v>
      </c>
      <c r="M19">
        <v>3.9546596252231898E-2</v>
      </c>
      <c r="N19">
        <f t="shared" si="8"/>
        <v>2010.2250106491679</v>
      </c>
      <c r="O19">
        <v>0.220483380891384</v>
      </c>
      <c r="P19">
        <f t="shared" si="9"/>
        <v>234.98481700913462</v>
      </c>
      <c r="Q19">
        <f t="shared" si="10"/>
        <v>229.29626867498826</v>
      </c>
      <c r="R19">
        <v>2010.22897968297</v>
      </c>
      <c r="S19">
        <v>229.29672140273499</v>
      </c>
      <c r="T19">
        <f t="shared" si="1"/>
        <v>-3.9690338021500793E-3</v>
      </c>
      <c r="U19">
        <f t="shared" si="11"/>
        <v>-4.5272774673321692E-4</v>
      </c>
      <c r="V19">
        <f t="shared" si="2"/>
        <v>1780.9287419741795</v>
      </c>
      <c r="W19">
        <f t="shared" si="12"/>
        <v>44879.404297749323</v>
      </c>
      <c r="X19">
        <v>44879.492908661799</v>
      </c>
    </row>
    <row r="20" spans="1:49" x14ac:dyDescent="0.35">
      <c r="A20" s="21">
        <v>27</v>
      </c>
      <c r="B20">
        <f t="shared" si="3"/>
        <v>42.128757484639124</v>
      </c>
      <c r="C20" s="73">
        <f t="shared" si="4"/>
        <v>44.23892185846686</v>
      </c>
      <c r="D20">
        <v>44.238900000000001</v>
      </c>
      <c r="E20">
        <f t="shared" si="5"/>
        <v>0.31010764005870295</v>
      </c>
      <c r="F20">
        <f t="shared" si="0"/>
        <v>0.20673842670580198</v>
      </c>
      <c r="G20">
        <f t="shared" si="6"/>
        <v>11.84523931341716</v>
      </c>
      <c r="H20" s="23">
        <v>1.79</v>
      </c>
      <c r="I20" s="22">
        <v>-1.1307346572684462</v>
      </c>
      <c r="J20" s="76">
        <f t="shared" si="7"/>
        <v>12.975973970685606</v>
      </c>
      <c r="K20">
        <v>12.9752393134172</v>
      </c>
      <c r="L20">
        <v>1.5469773268120199</v>
      </c>
      <c r="M20">
        <v>3.9564159056631999E-2</v>
      </c>
      <c r="N20">
        <f t="shared" si="8"/>
        <v>2002.3557110943048</v>
      </c>
      <c r="O20">
        <v>0.206738426705802</v>
      </c>
      <c r="P20">
        <f t="shared" si="9"/>
        <v>249.48021786555645</v>
      </c>
      <c r="Q20">
        <f t="shared" si="10"/>
        <v>244.16769097637774</v>
      </c>
      <c r="R20">
        <v>2002.3576898250899</v>
      </c>
      <c r="S20">
        <v>244.167932263241</v>
      </c>
      <c r="T20">
        <f t="shared" si="1"/>
        <v>-1.9787307851402147E-3</v>
      </c>
      <c r="U20">
        <f t="shared" si="11"/>
        <v>-2.4128686325752824E-4</v>
      </c>
      <c r="V20">
        <f t="shared" si="2"/>
        <v>1758.188020117927</v>
      </c>
      <c r="W20">
        <f t="shared" si="12"/>
        <v>47471.076543184026</v>
      </c>
      <c r="X20">
        <v>47471.123454169901</v>
      </c>
      <c r="AB20">
        <v>836255.74523453705</v>
      </c>
      <c r="AD20">
        <v>861292.29952786304</v>
      </c>
    </row>
    <row r="21" spans="1:49" x14ac:dyDescent="0.35">
      <c r="A21" s="21">
        <v>28.8</v>
      </c>
      <c r="B21">
        <f t="shared" si="3"/>
        <v>44.937341316948398</v>
      </c>
      <c r="C21" s="73">
        <f t="shared" si="4"/>
        <v>46.921366610915307</v>
      </c>
      <c r="D21">
        <v>46.921399999999998</v>
      </c>
      <c r="E21">
        <f t="shared" si="5"/>
        <v>0.29184051818051199</v>
      </c>
      <c r="F21">
        <f t="shared" si="0"/>
        <v>0.19456034545367465</v>
      </c>
      <c r="G21">
        <f t="shared" si="6"/>
        <v>11.147486655102872</v>
      </c>
      <c r="H21" s="23">
        <v>1.68</v>
      </c>
      <c r="I21" s="22">
        <v>-1.8312414892000479</v>
      </c>
      <c r="J21" s="76">
        <f t="shared" si="7"/>
        <v>12.97872814430292</v>
      </c>
      <c r="K21">
        <v>12.977486655102901</v>
      </c>
      <c r="L21">
        <v>1.5470465838343801</v>
      </c>
      <c r="M21">
        <v>3.9580124856808202E-2</v>
      </c>
      <c r="N21">
        <f t="shared" si="8"/>
        <v>1991.3060828372859</v>
      </c>
      <c r="O21">
        <v>0.19456034545367501</v>
      </c>
      <c r="P21">
        <f t="shared" si="9"/>
        <v>263.51228697280328</v>
      </c>
      <c r="Q21">
        <f t="shared" si="10"/>
        <v>258.54053874715112</v>
      </c>
      <c r="R21">
        <v>1991.3032488270501</v>
      </c>
      <c r="S21">
        <v>258.54017079441002</v>
      </c>
      <c r="T21">
        <f t="shared" si="1"/>
        <v>2.8340102358015429E-3</v>
      </c>
      <c r="U21">
        <f t="shared" si="11"/>
        <v>3.6795274110090759E-4</v>
      </c>
      <c r="V21">
        <f t="shared" si="2"/>
        <v>1732.7655440901349</v>
      </c>
      <c r="W21">
        <f t="shared" si="12"/>
        <v>49903.647669795886</v>
      </c>
      <c r="X21">
        <v>49903.576647340102</v>
      </c>
      <c r="Y21" s="89" t="s">
        <v>187</v>
      </c>
      <c r="Z21" s="89"/>
      <c r="AA21" s="41" t="s">
        <v>211</v>
      </c>
      <c r="AB21" s="41" t="s">
        <v>202</v>
      </c>
      <c r="AC21" s="41" t="s">
        <v>203</v>
      </c>
      <c r="AD21" s="41" t="s">
        <v>204</v>
      </c>
      <c r="AE21" s="41" t="s">
        <v>209</v>
      </c>
      <c r="AF21" s="41" t="s">
        <v>210</v>
      </c>
      <c r="AG21" s="41" t="s">
        <v>205</v>
      </c>
      <c r="AH21" s="41" t="s">
        <v>207</v>
      </c>
      <c r="AI21" s="41" t="s">
        <v>208</v>
      </c>
      <c r="AJ21" s="41" t="s">
        <v>213</v>
      </c>
      <c r="AK21" s="41" t="s">
        <v>206</v>
      </c>
      <c r="AL21" s="41" t="s">
        <v>212</v>
      </c>
      <c r="AM21" s="41" t="s">
        <v>214</v>
      </c>
      <c r="AN21" s="41" t="s">
        <v>215</v>
      </c>
      <c r="AO21" s="41" t="s">
        <v>216</v>
      </c>
      <c r="AP21" s="41" t="s">
        <v>217</v>
      </c>
      <c r="AQ21" s="41" t="s">
        <v>218</v>
      </c>
      <c r="AR21" s="41" t="s">
        <v>219</v>
      </c>
      <c r="AS21" s="41" t="s">
        <v>220</v>
      </c>
      <c r="AT21" s="41" t="s">
        <v>221</v>
      </c>
      <c r="AU21" s="41" t="s">
        <v>222</v>
      </c>
    </row>
    <row r="22" spans="1:49" x14ac:dyDescent="0.35">
      <c r="A22" s="21">
        <v>30.6</v>
      </c>
      <c r="B22">
        <f t="shared" si="3"/>
        <v>47.74592514925768</v>
      </c>
      <c r="C22" s="73">
        <f t="shared" si="4"/>
        <v>49.61777270654656</v>
      </c>
      <c r="D22">
        <v>49.617800000000003</v>
      </c>
      <c r="E22">
        <f t="shared" si="5"/>
        <v>0.27555384273558348</v>
      </c>
      <c r="F22">
        <f t="shared" si="0"/>
        <v>0.18370256182372233</v>
      </c>
      <c r="G22">
        <f t="shared" si="6"/>
        <v>10.525381478240369</v>
      </c>
      <c r="H22" s="23">
        <v>1.59</v>
      </c>
      <c r="I22" s="22">
        <v>-2.4556104862621897</v>
      </c>
      <c r="J22" s="76">
        <f t="shared" si="7"/>
        <v>12.980991964502559</v>
      </c>
      <c r="K22">
        <v>12.9853814782404</v>
      </c>
      <c r="L22">
        <v>1.5472898810357001</v>
      </c>
      <c r="M22">
        <v>3.9636212086195902E-2</v>
      </c>
      <c r="N22">
        <f t="shared" si="8"/>
        <v>1991.5266379515285</v>
      </c>
      <c r="O22">
        <v>0.18370256182372199</v>
      </c>
      <c r="P22">
        <f t="shared" si="9"/>
        <v>279.27803583764046</v>
      </c>
      <c r="Q22">
        <f t="shared" si="10"/>
        <v>274.57892664918785</v>
      </c>
      <c r="R22">
        <v>1991.5244469787499</v>
      </c>
      <c r="S22">
        <v>274.578624571906</v>
      </c>
      <c r="T22">
        <f t="shared" si="1"/>
        <v>2.1909727786351141E-3</v>
      </c>
      <c r="U22">
        <f t="shared" si="11"/>
        <v>3.0207728184450389E-4</v>
      </c>
      <c r="V22">
        <f t="shared" si="2"/>
        <v>1716.9477113023406</v>
      </c>
      <c r="W22">
        <f t="shared" si="12"/>
        <v>52538.599965851623</v>
      </c>
      <c r="X22">
        <v>52538.542165649502</v>
      </c>
      <c r="Y22" s="90" t="s">
        <v>94</v>
      </c>
      <c r="Z22" s="90"/>
      <c r="AA22" s="10">
        <v>13.5</v>
      </c>
      <c r="AB22">
        <v>835233.54319467</v>
      </c>
      <c r="AC22">
        <v>856776.16722009901</v>
      </c>
      <c r="AD22">
        <v>859937.56890147598</v>
      </c>
      <c r="AE22">
        <v>849092.50329690694</v>
      </c>
      <c r="AF22">
        <v>828480.64022766205</v>
      </c>
      <c r="AG22">
        <v>800711.54213659302</v>
      </c>
    </row>
    <row r="23" spans="1:49" x14ac:dyDescent="0.35">
      <c r="A23" s="21">
        <v>32.4</v>
      </c>
      <c r="B23">
        <f t="shared" si="3"/>
        <v>50.554508981566947</v>
      </c>
      <c r="C23" s="73">
        <f t="shared" si="4"/>
        <v>52.325981867207545</v>
      </c>
      <c r="D23">
        <v>52.326000000000001</v>
      </c>
      <c r="E23">
        <f t="shared" si="5"/>
        <v>0.26094950234836095</v>
      </c>
      <c r="F23">
        <f t="shared" si="0"/>
        <v>0.17396633489890731</v>
      </c>
      <c r="G23">
        <f t="shared" si="6"/>
        <v>9.9675367670668322</v>
      </c>
      <c r="H23" s="23">
        <v>1.5</v>
      </c>
      <c r="I23" s="22">
        <v>-3.0153112164044256</v>
      </c>
      <c r="J23" s="76">
        <f t="shared" si="7"/>
        <v>12.982847983471258</v>
      </c>
      <c r="K23">
        <v>12.9875367670668</v>
      </c>
      <c r="L23">
        <v>1.54735630123669</v>
      </c>
      <c r="M23">
        <v>3.96515239148083E-2</v>
      </c>
      <c r="N23">
        <f t="shared" si="8"/>
        <v>1979.98346490163</v>
      </c>
      <c r="O23">
        <v>0.173966334898907</v>
      </c>
      <c r="P23">
        <f t="shared" si="9"/>
        <v>293.12895583207313</v>
      </c>
      <c r="Q23">
        <f t="shared" si="10"/>
        <v>288.70446218623033</v>
      </c>
      <c r="R23">
        <v>1979.9820926345701</v>
      </c>
      <c r="S23">
        <v>288.70426209384101</v>
      </c>
      <c r="T23">
        <f t="shared" si="1"/>
        <v>1.3722670598781406E-3</v>
      </c>
      <c r="U23">
        <f t="shared" si="11"/>
        <v>2.0009238932061635E-4</v>
      </c>
      <c r="V23">
        <f t="shared" si="2"/>
        <v>1691.2790027153997</v>
      </c>
      <c r="W23">
        <f t="shared" si="12"/>
        <v>54797.439687978949</v>
      </c>
      <c r="X23">
        <v>54797.401709519603</v>
      </c>
      <c r="Y23" s="116" t="s">
        <v>95</v>
      </c>
      <c r="Z23" s="33">
        <f>SUM(W6:W30)</f>
        <v>967150.02697446349</v>
      </c>
      <c r="AA23" s="10">
        <v>15</v>
      </c>
      <c r="AB23">
        <v>1159364.0505097001</v>
      </c>
      <c r="AC23">
        <v>1161822.17524733</v>
      </c>
      <c r="AD23">
        <v>1149574.66834472</v>
      </c>
      <c r="AE23">
        <v>1129105.20684801</v>
      </c>
      <c r="AF23">
        <v>1095195.6318177001</v>
      </c>
      <c r="AG23">
        <v>1049293.27473518</v>
      </c>
    </row>
    <row r="24" spans="1:49" x14ac:dyDescent="0.35">
      <c r="A24" s="21">
        <v>34.200000000000003</v>
      </c>
      <c r="B24">
        <f t="shared" si="3"/>
        <v>53.363092813876229</v>
      </c>
      <c r="C24" s="73">
        <f t="shared" si="4"/>
        <v>55.044251967506732</v>
      </c>
      <c r="D24">
        <v>55.0443</v>
      </c>
      <c r="E24">
        <f t="shared" si="5"/>
        <v>0.24778500311178098</v>
      </c>
      <c r="F24">
        <f t="shared" si="0"/>
        <v>0.16519000207452064</v>
      </c>
      <c r="G24">
        <f t="shared" si="6"/>
        <v>9.4646899366273463</v>
      </c>
      <c r="H24" s="23">
        <v>1.43</v>
      </c>
      <c r="I24" s="22">
        <v>-3.5196569169095522</v>
      </c>
      <c r="J24" s="76">
        <f t="shared" si="7"/>
        <v>12.984346853536898</v>
      </c>
      <c r="K24">
        <v>12.9846899366273</v>
      </c>
      <c r="L24">
        <v>1.54726856958437</v>
      </c>
      <c r="M24">
        <v>3.9631299163840998E-2</v>
      </c>
      <c r="N24">
        <f t="shared" si="8"/>
        <v>1984.2928119157023</v>
      </c>
      <c r="O24">
        <v>0.165190002074521</v>
      </c>
      <c r="P24">
        <f t="shared" si="9"/>
        <v>309.08046586767466</v>
      </c>
      <c r="Q24">
        <f t="shared" si="10"/>
        <v>304.87299343683651</v>
      </c>
      <c r="R24">
        <v>1984.2893488690499</v>
      </c>
      <c r="S24">
        <v>304.87246136344697</v>
      </c>
      <c r="T24">
        <f t="shared" si="1"/>
        <v>3.4630466523140058E-3</v>
      </c>
      <c r="U24">
        <f t="shared" si="11"/>
        <v>5.3207338953598082E-4</v>
      </c>
      <c r="V24">
        <f t="shared" si="2"/>
        <v>1679.4198184788656</v>
      </c>
      <c r="W24">
        <f t="shared" si="12"/>
        <v>57436.15779197721</v>
      </c>
      <c r="X24">
        <v>57436.0575526916</v>
      </c>
      <c r="Y24" s="116"/>
      <c r="Z24" s="33">
        <f>Z23-(W6/2)-(W30/2)</f>
        <v>931102.20282306266</v>
      </c>
      <c r="AA24" s="10">
        <v>16</v>
      </c>
      <c r="AB24">
        <v>1358114.56956203</v>
      </c>
      <c r="AC24">
        <v>1365313.0150127099</v>
      </c>
      <c r="AD24">
        <v>1350105.38932353</v>
      </c>
      <c r="AE24">
        <v>1321525.8230560101</v>
      </c>
      <c r="AF24" s="87">
        <v>1289117.95351881</v>
      </c>
      <c r="AG24">
        <v>1238654.83715132</v>
      </c>
    </row>
    <row r="25" spans="1:49" x14ac:dyDescent="0.35">
      <c r="A25" s="21">
        <v>36</v>
      </c>
      <c r="B25">
        <f t="shared" si="3"/>
        <v>56.171676646185503</v>
      </c>
      <c r="C25" s="73">
        <f t="shared" si="4"/>
        <v>57.771162851751754</v>
      </c>
      <c r="D25">
        <v>57.7712</v>
      </c>
      <c r="E25">
        <f t="shared" si="5"/>
        <v>0.23586137650952577</v>
      </c>
      <c r="F25">
        <f t="shared" si="0"/>
        <v>0.15724091767301718</v>
      </c>
      <c r="G25">
        <f t="shared" si="6"/>
        <v>9.0092409494279213</v>
      </c>
      <c r="H25" s="23">
        <v>1.36</v>
      </c>
      <c r="I25" s="22">
        <v>-3.9762660640083674</v>
      </c>
      <c r="J25" s="76">
        <f t="shared" si="7"/>
        <v>12.985507013436289</v>
      </c>
      <c r="K25">
        <v>12.9892409494279</v>
      </c>
      <c r="L25">
        <v>1.5474088195505</v>
      </c>
      <c r="M25">
        <v>3.9663630945623397E-2</v>
      </c>
      <c r="N25">
        <f t="shared" si="8"/>
        <v>1979.7653417035124</v>
      </c>
      <c r="O25">
        <v>0.15724091767301701</v>
      </c>
      <c r="P25">
        <f t="shared" si="9"/>
        <v>324.06091896292503</v>
      </c>
      <c r="Q25">
        <f t="shared" si="10"/>
        <v>320.06301090999784</v>
      </c>
      <c r="R25">
        <v>1979.76279563243</v>
      </c>
      <c r="S25">
        <v>320.06259929395497</v>
      </c>
      <c r="T25">
        <f t="shared" si="1"/>
        <v>2.5460710824063426E-3</v>
      </c>
      <c r="U25">
        <f t="shared" si="11"/>
        <v>4.1161604286799047E-4</v>
      </c>
      <c r="V25">
        <f t="shared" si="2"/>
        <v>1659.7023307935146</v>
      </c>
      <c r="W25">
        <f t="shared" si="12"/>
        <v>59749.283908566525</v>
      </c>
      <c r="X25">
        <v>59749.207068185096</v>
      </c>
      <c r="Y25" s="113" t="s">
        <v>96</v>
      </c>
      <c r="Z25" s="114">
        <f>Z24*1.8</f>
        <v>1675983.9650815129</v>
      </c>
      <c r="AA25" s="10">
        <v>17</v>
      </c>
      <c r="AB25">
        <v>1540598.39481759</v>
      </c>
      <c r="AC25">
        <v>1561777.7178166299</v>
      </c>
      <c r="AD25">
        <v>1556233.2102320399</v>
      </c>
      <c r="AE25">
        <v>1525192.7123321299</v>
      </c>
      <c r="AF25">
        <v>1482052.60384521</v>
      </c>
      <c r="AG25">
        <v>1439079.0896540401</v>
      </c>
      <c r="AH25" s="91">
        <v>1299408.2901768601</v>
      </c>
      <c r="AI25">
        <v>1223469.5714428299</v>
      </c>
    </row>
    <row r="26" spans="1:49" x14ac:dyDescent="0.35">
      <c r="A26" s="21">
        <v>37.799999999999997</v>
      </c>
      <c r="B26">
        <f t="shared" si="3"/>
        <v>58.98026047849477</v>
      </c>
      <c r="C26" s="73">
        <f t="shared" si="4"/>
        <v>60.505546242564343</v>
      </c>
      <c r="D26">
        <v>60.505499999999998</v>
      </c>
      <c r="E26">
        <f t="shared" si="5"/>
        <v>0.22501403330014791</v>
      </c>
      <c r="F26">
        <f t="shared" si="0"/>
        <v>0.15000935553343195</v>
      </c>
      <c r="G26">
        <f t="shared" si="6"/>
        <v>8.5949029595430932</v>
      </c>
      <c r="H26" s="23">
        <v>1.29</v>
      </c>
      <c r="I26" s="22">
        <v>-4.3914005638944467</v>
      </c>
      <c r="J26" s="76">
        <f t="shared" si="7"/>
        <v>12.98630352343754</v>
      </c>
      <c r="K26">
        <v>12.984902959543099</v>
      </c>
      <c r="L26">
        <v>1.5472751343773199</v>
      </c>
      <c r="M26">
        <v>3.9632812543549702E-2</v>
      </c>
      <c r="N26">
        <f t="shared" si="8"/>
        <v>1965.6572125429927</v>
      </c>
      <c r="O26">
        <v>0.150009355533432</v>
      </c>
      <c r="P26">
        <f t="shared" si="9"/>
        <v>336.90450391764631</v>
      </c>
      <c r="Q26">
        <f t="shared" si="10"/>
        <v>333.12095846834012</v>
      </c>
      <c r="R26">
        <v>1965.6602171314901</v>
      </c>
      <c r="S26">
        <v>333.12146765752902</v>
      </c>
      <c r="T26">
        <f t="shared" si="1"/>
        <v>-3.0045884973333159E-3</v>
      </c>
      <c r="U26">
        <f t="shared" si="11"/>
        <v>-5.0918918890374698E-4</v>
      </c>
      <c r="V26">
        <f t="shared" si="2"/>
        <v>1632.5362540746526</v>
      </c>
      <c r="W26">
        <f t="shared" si="12"/>
        <v>61709.870404021865</v>
      </c>
      <c r="X26">
        <v>61709.964730115797</v>
      </c>
      <c r="Y26" s="113"/>
      <c r="Z26" s="114"/>
      <c r="AA26" s="10">
        <v>18</v>
      </c>
      <c r="AB26">
        <v>1707654.63695957</v>
      </c>
      <c r="AC26">
        <v>1743675.6494716499</v>
      </c>
      <c r="AD26">
        <v>1754102.2430851201</v>
      </c>
      <c r="AE26">
        <v>1737571.3186695699</v>
      </c>
      <c r="AF26">
        <v>1692283.11349012</v>
      </c>
      <c r="AG26">
        <v>1634337.5179731499</v>
      </c>
      <c r="AH26">
        <v>1498538.38661725</v>
      </c>
      <c r="AI26">
        <v>1412743.7139737599</v>
      </c>
      <c r="AJ26" s="91">
        <v>1324391.77473815</v>
      </c>
      <c r="AK26">
        <v>1229486.99407931</v>
      </c>
    </row>
    <row r="27" spans="1:49" x14ac:dyDescent="0.35">
      <c r="A27" s="21">
        <v>39.6</v>
      </c>
      <c r="B27">
        <f t="shared" si="3"/>
        <v>61.788844310804052</v>
      </c>
      <c r="C27" s="73">
        <f t="shared" si="4"/>
        <v>63.246432952892938</v>
      </c>
      <c r="D27">
        <v>63.246432952892903</v>
      </c>
      <c r="E27">
        <f t="shared" si="5"/>
        <v>0.21510578130821442</v>
      </c>
      <c r="F27">
        <f t="shared" si="0"/>
        <v>0.14340385420547627</v>
      </c>
      <c r="G27">
        <f t="shared" si="6"/>
        <v>8.2164356118831723</v>
      </c>
      <c r="H27" s="23">
        <v>1.24</v>
      </c>
      <c r="I27" s="22">
        <v>-3.7701928797212627</v>
      </c>
      <c r="J27" s="76">
        <f t="shared" si="7"/>
        <v>11.986628491604435</v>
      </c>
      <c r="K27">
        <v>11.9864356118832</v>
      </c>
      <c r="L27">
        <v>1.43379291902482</v>
      </c>
      <c r="M27">
        <v>2.1521544739625899E-2</v>
      </c>
      <c r="N27">
        <f t="shared" si="8"/>
        <v>1829.4644591138006</v>
      </c>
      <c r="O27">
        <v>0.14340385420547599</v>
      </c>
      <c r="P27">
        <f t="shared" si="9"/>
        <v>192.14969695199187</v>
      </c>
      <c r="Q27">
        <f t="shared" si="10"/>
        <v>190.1773334010243</v>
      </c>
      <c r="R27">
        <v>1829.4644591138001</v>
      </c>
      <c r="S27">
        <v>190.17733340102501</v>
      </c>
      <c r="T27">
        <f t="shared" si="1"/>
        <v>0</v>
      </c>
      <c r="U27">
        <f t="shared" si="11"/>
        <v>-7.1054273576010019E-13</v>
      </c>
      <c r="V27">
        <f t="shared" si="2"/>
        <v>1639.2871257127763</v>
      </c>
      <c r="W27">
        <f t="shared" si="12"/>
        <v>64915.770178225946</v>
      </c>
      <c r="X27">
        <v>64915.770178225801</v>
      </c>
      <c r="AA27" s="10">
        <v>19</v>
      </c>
      <c r="AI27">
        <v>1618741.6874599999</v>
      </c>
      <c r="AJ27">
        <v>1519768.16871093</v>
      </c>
      <c r="AK27">
        <v>1420925.7771719999</v>
      </c>
    </row>
    <row r="28" spans="1:49" x14ac:dyDescent="0.35">
      <c r="A28" s="21">
        <v>41.4</v>
      </c>
      <c r="B28">
        <f t="shared" si="3"/>
        <v>64.597428143113319</v>
      </c>
      <c r="C28" s="73">
        <f t="shared" si="4"/>
        <v>65.993012680924707</v>
      </c>
      <c r="D28">
        <v>65.993012680924707</v>
      </c>
      <c r="E28">
        <f t="shared" si="5"/>
        <v>0.20602144629787483</v>
      </c>
      <c r="F28">
        <f t="shared" si="0"/>
        <v>0.1373476308652499</v>
      </c>
      <c r="G28">
        <f t="shared" si="6"/>
        <v>7.8694395746995784</v>
      </c>
      <c r="H28" s="23">
        <v>1.18</v>
      </c>
      <c r="I28" s="22">
        <v>-4.1167017027784834</v>
      </c>
      <c r="J28" s="76">
        <f t="shared" si="7"/>
        <v>11.986141277478062</v>
      </c>
      <c r="K28">
        <v>11.989439574699601</v>
      </c>
      <c r="L28">
        <v>1.43396064027864</v>
      </c>
      <c r="M28">
        <v>2.1526522579081001E-2</v>
      </c>
      <c r="N28">
        <f t="shared" si="8"/>
        <v>1816.111537772905</v>
      </c>
      <c r="O28">
        <v>0.13734763086525001</v>
      </c>
      <c r="P28">
        <f t="shared" si="9"/>
        <v>199.12431805041072</v>
      </c>
      <c r="Q28">
        <f t="shared" si="10"/>
        <v>197.24909117222606</v>
      </c>
      <c r="R28">
        <v>1816.11153777291</v>
      </c>
      <c r="S28">
        <v>197.249091172226</v>
      </c>
      <c r="T28">
        <f t="shared" si="1"/>
        <v>-5.0022208597511053E-12</v>
      </c>
      <c r="U28">
        <f t="shared" si="11"/>
        <v>0</v>
      </c>
      <c r="V28">
        <f t="shared" si="2"/>
        <v>1618.8624466006788</v>
      </c>
      <c r="W28">
        <f t="shared" si="12"/>
        <v>67020.905289268107</v>
      </c>
      <c r="X28">
        <v>67020.905289268296</v>
      </c>
      <c r="Y28" s="89" t="s">
        <v>188</v>
      </c>
      <c r="Z28" s="89"/>
      <c r="AA28" s="10">
        <v>20</v>
      </c>
    </row>
    <row r="29" spans="1:49" x14ac:dyDescent="0.35">
      <c r="A29" s="21">
        <v>43.2</v>
      </c>
      <c r="B29">
        <f t="shared" si="3"/>
        <v>67.406011975422601</v>
      </c>
      <c r="C29" s="73">
        <f t="shared" si="4"/>
        <v>68.74460306402834</v>
      </c>
      <c r="D29">
        <v>68.744603064028297</v>
      </c>
      <c r="E29">
        <f t="shared" si="5"/>
        <v>0.1976636909835072</v>
      </c>
      <c r="F29">
        <f t="shared" si="0"/>
        <v>0.1317757939890048</v>
      </c>
      <c r="G29">
        <f t="shared" si="6"/>
        <v>7.5501968375553776</v>
      </c>
      <c r="H29" s="23">
        <v>1.1399999999999999</v>
      </c>
      <c r="I29" s="22">
        <v>-4.433187649153572</v>
      </c>
      <c r="J29" s="76">
        <f t="shared" si="7"/>
        <v>11.98338448670895</v>
      </c>
      <c r="K29">
        <v>11.9801968375554</v>
      </c>
      <c r="L29">
        <v>1.4334445874652899</v>
      </c>
      <c r="M29">
        <v>2.1511206523443301E-2</v>
      </c>
      <c r="N29">
        <f t="shared" si="8"/>
        <v>1826.4739636376519</v>
      </c>
      <c r="O29">
        <v>0.13177579398900499</v>
      </c>
      <c r="P29">
        <f t="shared" si="9"/>
        <v>208.60242058835823</v>
      </c>
      <c r="Q29">
        <f t="shared" si="10"/>
        <v>206.79386407086704</v>
      </c>
      <c r="R29">
        <v>1826.4739636376501</v>
      </c>
      <c r="S29">
        <v>206.79386407086699</v>
      </c>
      <c r="T29">
        <f t="shared" si="1"/>
        <v>1.8189894035458565E-12</v>
      </c>
      <c r="U29">
        <f t="shared" si="11"/>
        <v>0</v>
      </c>
      <c r="V29">
        <f t="shared" si="2"/>
        <v>1619.6800995667847</v>
      </c>
      <c r="W29">
        <f t="shared" si="12"/>
        <v>69970.180301285101</v>
      </c>
      <c r="X29">
        <v>69970.180301285</v>
      </c>
      <c r="Y29" s="90" t="s">
        <v>94</v>
      </c>
      <c r="Z29" s="90"/>
      <c r="AA29" s="41" t="s">
        <v>211</v>
      </c>
      <c r="AB29" s="41" t="s">
        <v>202</v>
      </c>
      <c r="AC29" s="41" t="s">
        <v>203</v>
      </c>
      <c r="AD29" s="41" t="s">
        <v>204</v>
      </c>
      <c r="AE29" s="41" t="s">
        <v>209</v>
      </c>
      <c r="AF29" s="41" t="s">
        <v>210</v>
      </c>
      <c r="AG29" s="41" t="s">
        <v>205</v>
      </c>
      <c r="AH29" s="41" t="s">
        <v>207</v>
      </c>
      <c r="AI29" s="41" t="s">
        <v>208</v>
      </c>
      <c r="AJ29" s="41" t="s">
        <v>213</v>
      </c>
      <c r="AK29" s="41" t="s">
        <v>206</v>
      </c>
      <c r="AL29" s="41" t="s">
        <v>212</v>
      </c>
      <c r="AM29" s="41" t="s">
        <v>214</v>
      </c>
      <c r="AN29" s="41" t="s">
        <v>215</v>
      </c>
      <c r="AO29" s="41" t="s">
        <v>216</v>
      </c>
      <c r="AP29" s="41" t="s">
        <v>217</v>
      </c>
      <c r="AQ29" s="41" t="s">
        <v>218</v>
      </c>
      <c r="AR29" s="41" t="s">
        <v>219</v>
      </c>
      <c r="AS29" s="41" t="s">
        <v>220</v>
      </c>
      <c r="AT29" s="41" t="s">
        <v>221</v>
      </c>
      <c r="AU29" s="41" t="s">
        <v>222</v>
      </c>
    </row>
    <row r="30" spans="1:49" x14ac:dyDescent="0.35">
      <c r="A30" s="21">
        <v>45</v>
      </c>
      <c r="B30">
        <f t="shared" si="3"/>
        <v>70.214595807731882</v>
      </c>
      <c r="C30" s="73">
        <f t="shared" si="4"/>
        <v>71.500625622739548</v>
      </c>
      <c r="D30">
        <v>71.500625622739605</v>
      </c>
      <c r="E30">
        <f t="shared" si="5"/>
        <v>0.18994973748331659</v>
      </c>
      <c r="F30">
        <f t="shared" si="0"/>
        <v>0.12663315832221106</v>
      </c>
      <c r="G30">
        <f t="shared" si="6"/>
        <v>7.2555455182746504</v>
      </c>
      <c r="H30" s="23">
        <v>1.0900000000000001</v>
      </c>
      <c r="I30" s="22">
        <v>-4.7344725491675899</v>
      </c>
      <c r="J30" s="76">
        <f t="shared" si="7"/>
        <v>11.990018067442239</v>
      </c>
      <c r="K30">
        <v>11.9855455182747</v>
      </c>
      <c r="L30">
        <v>1.43374322213269</v>
      </c>
      <c r="M30">
        <v>2.15200697736047E-2</v>
      </c>
      <c r="N30">
        <f t="shared" si="8"/>
        <v>1816.25223138825</v>
      </c>
      <c r="O30">
        <v>0.126633158322211</v>
      </c>
      <c r="P30">
        <f t="shared" si="9"/>
        <v>215.85512368705523</v>
      </c>
      <c r="Q30">
        <f t="shared" si="10"/>
        <v>214.12671354821339</v>
      </c>
      <c r="R30">
        <v>1816.25223138824</v>
      </c>
      <c r="S30">
        <v>214.12671354821299</v>
      </c>
      <c r="T30">
        <f t="shared" si="1"/>
        <v>1.0004441719502211E-11</v>
      </c>
      <c r="U30">
        <f t="shared" si="11"/>
        <v>3.979039320256561E-13</v>
      </c>
      <c r="V30">
        <f t="shared" si="2"/>
        <v>1602.1255178400365</v>
      </c>
      <c r="W30">
        <f t="shared" si="12"/>
        <v>72095.648302801637</v>
      </c>
      <c r="X30">
        <v>72095.648302801404</v>
      </c>
      <c r="Y30" s="116" t="s">
        <v>95</v>
      </c>
      <c r="Z30" s="33">
        <f>SUM(X6:X30)</f>
        <v>967140.03797880432</v>
      </c>
      <c r="AA30" s="10">
        <v>13.5</v>
      </c>
    </row>
    <row r="31" spans="1:49" x14ac:dyDescent="0.35">
      <c r="Y31" s="116"/>
      <c r="Z31" s="33">
        <f>Z30-(X6/2)-(X30/2)</f>
        <v>931092.21382740361</v>
      </c>
      <c r="AA31" s="10">
        <v>15</v>
      </c>
    </row>
    <row r="32" spans="1:49" x14ac:dyDescent="0.35">
      <c r="A32" s="128" t="s">
        <v>193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Y32" s="113" t="s">
        <v>96</v>
      </c>
      <c r="Z32" s="114">
        <f>Z31*1.8</f>
        <v>1675965.9848893266</v>
      </c>
      <c r="AA32" s="10">
        <v>16</v>
      </c>
    </row>
    <row r="33" spans="1:27" x14ac:dyDescent="0.35">
      <c r="A33" s="67" t="s">
        <v>106</v>
      </c>
      <c r="B33" s="67" t="s">
        <v>176</v>
      </c>
      <c r="C33" s="67" t="s">
        <v>75</v>
      </c>
      <c r="D33" s="67" t="s">
        <v>76</v>
      </c>
      <c r="E33" s="67" t="s">
        <v>149</v>
      </c>
      <c r="F33" s="67" t="s">
        <v>9</v>
      </c>
      <c r="G33" s="127" t="s">
        <v>128</v>
      </c>
      <c r="H33" s="127"/>
      <c r="I33" s="127"/>
      <c r="J33" s="67" t="s">
        <v>129</v>
      </c>
      <c r="K33" s="127" t="s">
        <v>199</v>
      </c>
      <c r="L33" s="127"/>
      <c r="M33" s="127"/>
      <c r="N33" s="86"/>
      <c r="O33" s="127" t="s">
        <v>200</v>
      </c>
      <c r="P33" s="127"/>
      <c r="Q33" s="127"/>
      <c r="R33" s="86"/>
      <c r="T33" t="s">
        <v>144</v>
      </c>
      <c r="U33" t="s">
        <v>226</v>
      </c>
      <c r="V33" t="s">
        <v>185</v>
      </c>
      <c r="Y33" s="113"/>
      <c r="Z33" s="114"/>
      <c r="AA33" s="10">
        <v>17</v>
      </c>
    </row>
    <row r="34" spans="1:27" x14ac:dyDescent="0.35">
      <c r="A34" s="67"/>
      <c r="B34" s="67"/>
      <c r="C34" s="67"/>
      <c r="D34" s="67"/>
      <c r="E34" s="67"/>
      <c r="F34" s="67"/>
      <c r="G34" s="84" t="s">
        <v>132</v>
      </c>
      <c r="H34" s="84" t="s">
        <v>195</v>
      </c>
      <c r="I34" s="84" t="s">
        <v>128</v>
      </c>
      <c r="J34" s="67"/>
      <c r="K34" s="84" t="s">
        <v>135</v>
      </c>
      <c r="L34" s="84" t="s">
        <v>196</v>
      </c>
      <c r="M34" s="85" t="s">
        <v>142</v>
      </c>
      <c r="N34" s="86" t="s">
        <v>198</v>
      </c>
      <c r="O34" s="84" t="s">
        <v>135</v>
      </c>
      <c r="P34" s="84" t="s">
        <v>197</v>
      </c>
      <c r="Q34" s="85" t="s">
        <v>143</v>
      </c>
      <c r="R34" s="86" t="s">
        <v>201</v>
      </c>
      <c r="AA34" s="10">
        <v>18</v>
      </c>
    </row>
    <row r="35" spans="1:27" x14ac:dyDescent="0.35">
      <c r="A35">
        <f>A6/B$1</f>
        <v>0.04</v>
      </c>
      <c r="B35">
        <v>0.9104526489144521</v>
      </c>
      <c r="C35">
        <v>0</v>
      </c>
      <c r="D35">
        <v>0</v>
      </c>
      <c r="E35">
        <f>(C35*COS(B35))+(D35*SIN(B35))</f>
        <v>0</v>
      </c>
      <c r="F35">
        <f>(C35*SIN(B35))-(D35*COS(B35))</f>
        <v>0</v>
      </c>
      <c r="G35">
        <f>(E$2*(1-A35))/(A35*SIN(B35))</f>
        <v>45.582229212490468</v>
      </c>
      <c r="H35">
        <f>EXP(-G35)</f>
        <v>1.5991506545450049E-20</v>
      </c>
      <c r="I35">
        <f>(2*ACOS(H35))/(PI())</f>
        <v>1</v>
      </c>
      <c r="J35">
        <f>(E$1*H6)/(2*PI()*A6)</f>
        <v>0.96819257047569662</v>
      </c>
      <c r="K35" t="e">
        <f>(4*I35*SIN(B35)*SIN(B35))/(J35*E35)</f>
        <v>#DIV/0!</v>
      </c>
      <c r="L35" t="e">
        <f>K35+1</f>
        <v>#DIV/0!</v>
      </c>
      <c r="M35">
        <v>0.21951999999999999</v>
      </c>
      <c r="N35">
        <v>0.28979857482486793</v>
      </c>
      <c r="O35" t="e">
        <f>(4*I35*SIN(B35)*COS(B35))/(J35*F35)</f>
        <v>#DIV/0!</v>
      </c>
      <c r="P35" t="e">
        <f>O35-1</f>
        <v>#DIV/0!</v>
      </c>
      <c r="Q35">
        <v>0.17397000000000001</v>
      </c>
      <c r="R35">
        <v>1.515241086225894</v>
      </c>
      <c r="T35">
        <f>B$2*(1-M35)</f>
        <v>10.536480000000001</v>
      </c>
      <c r="U35">
        <f>B6*(1+Q35)</f>
        <v>3.2971931616161192</v>
      </c>
      <c r="V35">
        <f>ATAN(T35/U35)</f>
        <v>1.267518684219691</v>
      </c>
    </row>
    <row r="36" spans="1:27" x14ac:dyDescent="0.35">
      <c r="A36">
        <f t="shared" ref="A36:A59" si="13">A7/B$1</f>
        <v>0.08</v>
      </c>
      <c r="B36">
        <v>0.78433310499017994</v>
      </c>
      <c r="C36">
        <v>0</v>
      </c>
      <c r="D36">
        <v>0</v>
      </c>
      <c r="E36">
        <f t="shared" ref="E36:E59" si="14">(C36*COS(B36))+(D36*SIN(B36))</f>
        <v>0</v>
      </c>
      <c r="F36">
        <f t="shared" ref="F36:F59" si="15">(C36*SIN(B36))-(D36*COS(B36))</f>
        <v>0</v>
      </c>
      <c r="G36">
        <f t="shared" ref="G36:G59" si="16">(E$2*(1-A36))/(A36*SIN(B36))</f>
        <v>24.421207809801999</v>
      </c>
      <c r="H36">
        <f t="shared" ref="H36:H59" si="17">EXP(-G36)</f>
        <v>2.477446055280559E-11</v>
      </c>
      <c r="I36">
        <f t="shared" ref="I36:I59" si="18">(2*ACOS(H36))/(PI())</f>
        <v>0.99999999998422817</v>
      </c>
      <c r="J36">
        <f t="shared" ref="J36:J59" si="19">(E$1*H7)/(2*PI()*A7)</f>
        <v>0.58754699824758028</v>
      </c>
      <c r="K36" t="e">
        <f t="shared" ref="K36:K59" si="20">(4*I36*SIN(B36)*SIN(B36))/(J36*E36)</f>
        <v>#DIV/0!</v>
      </c>
      <c r="L36" t="e">
        <f t="shared" ref="L36:L59" si="21">K36+1</f>
        <v>#DIV/0!</v>
      </c>
      <c r="M36">
        <v>0.21951999999999999</v>
      </c>
      <c r="N36">
        <v>0.30459674008474363</v>
      </c>
      <c r="O36" t="e">
        <f>(4*I36*SIN(B36)*COS(B36))/(J36*F36)</f>
        <v>#DIV/0!</v>
      </c>
      <c r="P36" t="e">
        <f t="shared" ref="P36:P59" si="22">O36-1</f>
        <v>#DIV/0!</v>
      </c>
      <c r="Q36">
        <v>0.17397000000000001</v>
      </c>
      <c r="R36">
        <v>0.63710851242160571</v>
      </c>
      <c r="T36">
        <f t="shared" ref="T36:T59" si="23">B$2*(1-M36)</f>
        <v>10.536480000000001</v>
      </c>
      <c r="U36">
        <f t="shared" ref="U36:U59" si="24">B7*(1+Q36)</f>
        <v>6.5943863232322384</v>
      </c>
      <c r="V36">
        <f t="shared" ref="V36:V59" si="25">ATAN(T36/U36)</f>
        <v>1.0115771219872201</v>
      </c>
    </row>
    <row r="37" spans="1:27" x14ac:dyDescent="0.35">
      <c r="A37">
        <f t="shared" si="13"/>
        <v>0.12000000000000001</v>
      </c>
      <c r="B37">
        <v>0.67521537387314545</v>
      </c>
      <c r="C37">
        <v>1.29936490785143</v>
      </c>
      <c r="D37">
        <v>0.12153600987650499</v>
      </c>
      <c r="E37">
        <f t="shared" si="14"/>
        <v>1.0902162752761382</v>
      </c>
      <c r="F37">
        <f t="shared" si="15"/>
        <v>0.71732045737974082</v>
      </c>
      <c r="G37">
        <f t="shared" si="16"/>
        <v>17.598157230420075</v>
      </c>
      <c r="H37">
        <f t="shared" si="17"/>
        <v>2.2762367100908256E-8</v>
      </c>
      <c r="I37">
        <f t="shared" si="18"/>
        <v>0.99999998550902702</v>
      </c>
      <c r="J37">
        <f t="shared" si="19"/>
        <v>0.40319252249946819</v>
      </c>
      <c r="K37">
        <f t="shared" si="20"/>
        <v>3.5553784677461193</v>
      </c>
      <c r="L37">
        <f t="shared" si="21"/>
        <v>4.5553784677461193</v>
      </c>
      <c r="M37">
        <f t="shared" ref="M37:M58" si="26">1/L37</f>
        <v>0.21952072853669469</v>
      </c>
      <c r="N37">
        <v>0.31430085511143602</v>
      </c>
      <c r="O37">
        <f>(4*I37*SIN(B37)*COS(B37))/(J37*F37)</f>
        <v>6.7479670307563007</v>
      </c>
      <c r="P37">
        <f t="shared" si="22"/>
        <v>5.7479670307563007</v>
      </c>
      <c r="Q37">
        <f t="shared" ref="Q37:Q58" si="27">1/P37</f>
        <v>0.17397455389865432</v>
      </c>
      <c r="R37">
        <v>0.3534153611214873</v>
      </c>
      <c r="T37">
        <f t="shared" si="23"/>
        <v>10.536470164754622</v>
      </c>
      <c r="U37">
        <f t="shared" si="24"/>
        <v>9.8916178548667624</v>
      </c>
      <c r="V37">
        <f t="shared" si="25"/>
        <v>0.81695462843844591</v>
      </c>
    </row>
    <row r="38" spans="1:27" x14ac:dyDescent="0.35">
      <c r="A38">
        <f t="shared" si="13"/>
        <v>0.16</v>
      </c>
      <c r="B38">
        <v>0.58449549056698447</v>
      </c>
      <c r="C38">
        <v>1.3004746124528099</v>
      </c>
      <c r="D38">
        <v>0.124025444390961</v>
      </c>
      <c r="E38">
        <f t="shared" si="14"/>
        <v>1.1530181607851644</v>
      </c>
      <c r="F38">
        <f t="shared" si="15"/>
        <v>0.61413813543066842</v>
      </c>
      <c r="G38">
        <f t="shared" si="16"/>
        <v>14.272026177365154</v>
      </c>
      <c r="H38">
        <f t="shared" si="17"/>
        <v>6.3348711462705606E-7</v>
      </c>
      <c r="I38">
        <f t="shared" si="18"/>
        <v>0.99999959670957739</v>
      </c>
      <c r="J38">
        <f t="shared" si="19"/>
        <v>0.2891314799502766</v>
      </c>
      <c r="K38">
        <f t="shared" si="20"/>
        <v>3.6530712844482807</v>
      </c>
      <c r="L38">
        <f t="shared" si="21"/>
        <v>4.6530712844482807</v>
      </c>
      <c r="M38">
        <f t="shared" si="26"/>
        <v>0.21491181606055515</v>
      </c>
      <c r="N38">
        <v>0.32059076073053755</v>
      </c>
      <c r="O38">
        <f t="shared" ref="O38:O59" si="28">(4*I38*SIN(B38)*COS(B38))/(J38*F38)</f>
        <v>10.366315907351131</v>
      </c>
      <c r="P38">
        <f t="shared" si="22"/>
        <v>9.3663159073511313</v>
      </c>
      <c r="Q38">
        <f t="shared" si="27"/>
        <v>0.10676556395190048</v>
      </c>
      <c r="R38">
        <v>0.22238675468569197</v>
      </c>
      <c r="T38">
        <f t="shared" si="23"/>
        <v>10.598690483182505</v>
      </c>
      <c r="U38">
        <f t="shared" si="24"/>
        <v>12.433775476287858</v>
      </c>
      <c r="V38">
        <f t="shared" si="25"/>
        <v>0.70589227255511422</v>
      </c>
    </row>
    <row r="39" spans="1:27" x14ac:dyDescent="0.35">
      <c r="A39">
        <f t="shared" si="13"/>
        <v>0.2</v>
      </c>
      <c r="B39">
        <v>0.51045930994941302</v>
      </c>
      <c r="C39">
        <v>1.3011061445926599</v>
      </c>
      <c r="D39">
        <v>0.12549572765860401</v>
      </c>
      <c r="E39">
        <f t="shared" si="14"/>
        <v>1.196555840303779</v>
      </c>
      <c r="F39">
        <f t="shared" si="15"/>
        <v>0.52619435401024162</v>
      </c>
      <c r="G39">
        <f t="shared" si="16"/>
        <v>12.28053517980233</v>
      </c>
      <c r="H39">
        <f t="shared" si="17"/>
        <v>4.6412112533952533E-6</v>
      </c>
      <c r="I39">
        <f t="shared" si="18"/>
        <v>0.99999704531314837</v>
      </c>
      <c r="J39">
        <f t="shared" si="19"/>
        <v>0.21379814022011273</v>
      </c>
      <c r="K39">
        <f t="shared" si="20"/>
        <v>3.7324132958372438</v>
      </c>
      <c r="L39">
        <f t="shared" si="21"/>
        <v>4.7324132958372438</v>
      </c>
      <c r="M39">
        <f t="shared" si="26"/>
        <v>0.21130867857201452</v>
      </c>
      <c r="N39">
        <v>0.32469518548197451</v>
      </c>
      <c r="O39">
        <f t="shared" si="28"/>
        <v>15.157167282746229</v>
      </c>
      <c r="P39">
        <f t="shared" si="22"/>
        <v>14.157167282746229</v>
      </c>
      <c r="Q39">
        <f t="shared" si="27"/>
        <v>7.0635599624419954E-2</v>
      </c>
      <c r="R39">
        <v>0.15108293520673258</v>
      </c>
      <c r="T39">
        <f t="shared" si="23"/>
        <v>10.647332839277803</v>
      </c>
      <c r="U39">
        <f t="shared" si="24"/>
        <v>15.03484917699946</v>
      </c>
      <c r="V39">
        <f t="shared" si="25"/>
        <v>0.61619275948759467</v>
      </c>
    </row>
    <row r="40" spans="1:27" x14ac:dyDescent="0.35">
      <c r="A40">
        <f t="shared" si="13"/>
        <v>0.24000000000000002</v>
      </c>
      <c r="B40">
        <v>0.45028049747461907</v>
      </c>
      <c r="C40">
        <v>1.30144609400177</v>
      </c>
      <c r="D40">
        <v>0.126287171033417</v>
      </c>
      <c r="E40">
        <f t="shared" si="14"/>
        <v>1.2266869943114471</v>
      </c>
      <c r="F40">
        <f t="shared" si="15"/>
        <v>0.45271337858211741</v>
      </c>
      <c r="G40">
        <f t="shared" si="16"/>
        <v>10.914068389317329</v>
      </c>
      <c r="H40">
        <f t="shared" si="17"/>
        <v>1.8200374460920529E-5</v>
      </c>
      <c r="I40">
        <f t="shared" si="18"/>
        <v>0.99998841328175303</v>
      </c>
      <c r="J40">
        <f t="shared" si="19"/>
        <v>0.16269171960504858</v>
      </c>
      <c r="K40">
        <f t="shared" si="20"/>
        <v>3.7963795607243775</v>
      </c>
      <c r="L40">
        <f t="shared" si="21"/>
        <v>4.7963795607243771</v>
      </c>
      <c r="M40">
        <f t="shared" si="26"/>
        <v>0.2084905890660943</v>
      </c>
      <c r="N40">
        <v>0.32741959511674146</v>
      </c>
      <c r="O40">
        <f t="shared" si="28"/>
        <v>21.280040897956116</v>
      </c>
      <c r="P40">
        <f t="shared" si="22"/>
        <v>20.280040897956116</v>
      </c>
      <c r="Q40">
        <f t="shared" si="27"/>
        <v>4.9309565253430186E-2</v>
      </c>
      <c r="R40">
        <v>0.10824580794377235</v>
      </c>
      <c r="T40">
        <f t="shared" si="23"/>
        <v>10.685377047607727</v>
      </c>
      <c r="U40">
        <f t="shared" si="24"/>
        <v>17.682443280349549</v>
      </c>
      <c r="V40">
        <f t="shared" si="25"/>
        <v>0.5435701547688333</v>
      </c>
    </row>
    <row r="41" spans="1:27" x14ac:dyDescent="0.35">
      <c r="A41">
        <f t="shared" si="13"/>
        <v>0.27999999999999997</v>
      </c>
      <c r="B41">
        <v>0.40114920200974918</v>
      </c>
      <c r="C41">
        <v>1.3017292025848399</v>
      </c>
      <c r="D41">
        <v>0.12694628208470199</v>
      </c>
      <c r="E41">
        <f t="shared" si="14"/>
        <v>1.2479582001781964</v>
      </c>
      <c r="F41">
        <f t="shared" si="15"/>
        <v>0.39142637367107624</v>
      </c>
      <c r="G41">
        <f t="shared" si="16"/>
        <v>9.8780391776064747</v>
      </c>
      <c r="H41">
        <f t="shared" si="17"/>
        <v>5.128874745997939E-5</v>
      </c>
      <c r="I41">
        <f t="shared" si="18"/>
        <v>0.99996734856925273</v>
      </c>
      <c r="J41">
        <f t="shared" si="19"/>
        <v>0.1269450141328213</v>
      </c>
      <c r="K41">
        <f t="shared" si="20"/>
        <v>3.8496396882785833</v>
      </c>
      <c r="L41">
        <f t="shared" si="21"/>
        <v>4.8496396882785833</v>
      </c>
      <c r="M41">
        <f t="shared" si="26"/>
        <v>0.20620088589611441</v>
      </c>
      <c r="N41">
        <v>0.32926698172902119</v>
      </c>
      <c r="O41">
        <f t="shared" si="28"/>
        <v>28.936906287538367</v>
      </c>
      <c r="P41">
        <f t="shared" si="22"/>
        <v>27.936906287538367</v>
      </c>
      <c r="Q41">
        <f t="shared" si="27"/>
        <v>3.5794944139754779E-2</v>
      </c>
      <c r="R41">
        <v>8.0683396468454502E-2</v>
      </c>
      <c r="T41">
        <f t="shared" si="23"/>
        <v>10.716288040402455</v>
      </c>
      <c r="U41">
        <f t="shared" si="24"/>
        <v>20.363818535890225</v>
      </c>
      <c r="V41">
        <f t="shared" si="25"/>
        <v>0.48441981525655647</v>
      </c>
    </row>
    <row r="42" spans="1:27" x14ac:dyDescent="0.35">
      <c r="A42">
        <f t="shared" si="13"/>
        <v>0.32</v>
      </c>
      <c r="B42">
        <v>0.36068962039625513</v>
      </c>
      <c r="C42">
        <v>1.30190591604971</v>
      </c>
      <c r="D42">
        <v>0.127357692421842</v>
      </c>
      <c r="E42">
        <f t="shared" si="14"/>
        <v>1.2630800638443944</v>
      </c>
      <c r="F42">
        <f t="shared" si="15"/>
        <v>0.34030537518983167</v>
      </c>
      <c r="G42">
        <f t="shared" si="16"/>
        <v>9.0318030911730816</v>
      </c>
      <c r="H42">
        <f t="shared" si="17"/>
        <v>1.1954674504293571E-4</v>
      </c>
      <c r="I42">
        <f t="shared" si="18"/>
        <v>0.99992389417820227</v>
      </c>
      <c r="J42">
        <f t="shared" si="19"/>
        <v>0.10112970342297516</v>
      </c>
      <c r="K42">
        <f t="shared" si="20"/>
        <v>3.9000375573598549</v>
      </c>
      <c r="L42">
        <f t="shared" si="21"/>
        <v>4.9000375573598554</v>
      </c>
      <c r="M42">
        <f t="shared" si="26"/>
        <v>0.20408006842682261</v>
      </c>
      <c r="N42">
        <v>0.33054751365265717</v>
      </c>
      <c r="O42">
        <f t="shared" si="28"/>
        <v>38.376931891000368</v>
      </c>
      <c r="P42">
        <f t="shared" si="22"/>
        <v>37.376931891000368</v>
      </c>
      <c r="Q42">
        <f t="shared" si="27"/>
        <v>2.6754469920544238E-2</v>
      </c>
      <c r="R42">
        <v>6.2013287998204956E-2</v>
      </c>
      <c r="T42">
        <f t="shared" si="23"/>
        <v>10.744919076237895</v>
      </c>
      <c r="U42">
        <f t="shared" si="24"/>
        <v>23.06980803176096</v>
      </c>
      <c r="V42">
        <f t="shared" si="25"/>
        <v>0.43587971439127499</v>
      </c>
    </row>
    <row r="43" spans="1:27" x14ac:dyDescent="0.35">
      <c r="A43">
        <f t="shared" si="13"/>
        <v>0.36</v>
      </c>
      <c r="B43">
        <v>0.32702407940514405</v>
      </c>
      <c r="C43">
        <v>1.5457014236336899</v>
      </c>
      <c r="D43">
        <v>3.9293202548207298E-2</v>
      </c>
      <c r="E43">
        <f t="shared" si="14"/>
        <v>1.4764050885828384</v>
      </c>
      <c r="F43">
        <f t="shared" si="15"/>
        <v>0.45930911290373033</v>
      </c>
      <c r="G43">
        <f t="shared" si="16"/>
        <v>8.301521622857674</v>
      </c>
      <c r="H43">
        <f t="shared" si="17"/>
        <v>2.4813896577743303E-4</v>
      </c>
      <c r="I43">
        <f t="shared" si="18"/>
        <v>0.99984202982647019</v>
      </c>
      <c r="J43">
        <f t="shared" si="19"/>
        <v>8.2230053930812605E-2</v>
      </c>
      <c r="K43">
        <f t="shared" si="20"/>
        <v>3.3992047858242533</v>
      </c>
      <c r="L43">
        <f t="shared" si="21"/>
        <v>4.3992047858242529</v>
      </c>
      <c r="M43">
        <f t="shared" si="26"/>
        <v>0.22731380980997817</v>
      </c>
      <c r="N43">
        <v>0.33145378694207139</v>
      </c>
      <c r="O43">
        <f t="shared" si="28"/>
        <v>32.212014653082342</v>
      </c>
      <c r="P43">
        <f t="shared" si="22"/>
        <v>31.212014653082342</v>
      </c>
      <c r="Q43">
        <f t="shared" si="27"/>
        <v>3.2038944333292019E-2</v>
      </c>
      <c r="R43">
        <v>4.8845253638592628E-2</v>
      </c>
      <c r="T43">
        <f t="shared" si="23"/>
        <v>10.431263567565294</v>
      </c>
      <c r="U43">
        <f t="shared" si="24"/>
        <v>26.087111040312141</v>
      </c>
      <c r="V43">
        <f t="shared" si="25"/>
        <v>0.38038803957339729</v>
      </c>
    </row>
    <row r="44" spans="1:27" x14ac:dyDescent="0.35">
      <c r="A44">
        <f t="shared" si="13"/>
        <v>0.4</v>
      </c>
      <c r="B44">
        <v>0.29870919694243514</v>
      </c>
      <c r="C44">
        <v>1.5460055932627801</v>
      </c>
      <c r="D44">
        <v>3.9347740430610401E-2</v>
      </c>
      <c r="E44">
        <f t="shared" si="14"/>
        <v>1.4891235828343714</v>
      </c>
      <c r="F44">
        <f t="shared" si="15"/>
        <v>0.4173637431825149</v>
      </c>
      <c r="G44">
        <f t="shared" si="16"/>
        <v>7.6456026128032333</v>
      </c>
      <c r="H44">
        <f t="shared" si="17"/>
        <v>4.78142088770307E-4</v>
      </c>
      <c r="I44">
        <f t="shared" si="18"/>
        <v>0.99969560528068924</v>
      </c>
      <c r="J44">
        <f t="shared" si="19"/>
        <v>6.7906109052542005E-2</v>
      </c>
      <c r="K44">
        <f t="shared" si="20"/>
        <v>3.424757138603129</v>
      </c>
      <c r="L44">
        <f t="shared" si="21"/>
        <v>4.4247571386031286</v>
      </c>
      <c r="M44">
        <f t="shared" si="26"/>
        <v>0.22600110439410342</v>
      </c>
      <c r="N44">
        <v>0.33210740860299898</v>
      </c>
      <c r="O44">
        <f t="shared" si="28"/>
        <v>39.682989825390877</v>
      </c>
      <c r="P44">
        <f t="shared" si="22"/>
        <v>38.682989825390877</v>
      </c>
      <c r="Q44">
        <f t="shared" si="27"/>
        <v>2.5851155883085761E-2</v>
      </c>
      <c r="R44">
        <v>3.924885864301058E-2</v>
      </c>
      <c r="T44">
        <f t="shared" si="23"/>
        <v>10.448985090679603</v>
      </c>
      <c r="U44">
        <f t="shared" si="24"/>
        <v>28.811889707690167</v>
      </c>
      <c r="V44">
        <f t="shared" si="25"/>
        <v>0.34791039651533945</v>
      </c>
    </row>
    <row r="45" spans="1:27" x14ac:dyDescent="0.35">
      <c r="A45">
        <f t="shared" si="13"/>
        <v>0.44</v>
      </c>
      <c r="B45">
        <v>0.27464483436151982</v>
      </c>
      <c r="C45">
        <v>1.5463841108957801</v>
      </c>
      <c r="D45">
        <v>3.9427405172949799E-2</v>
      </c>
      <c r="E45">
        <f t="shared" si="14"/>
        <v>1.4991209926968287</v>
      </c>
      <c r="F45">
        <f t="shared" si="15"/>
        <v>0.38143752826023614</v>
      </c>
      <c r="G45">
        <f t="shared" si="16"/>
        <v>7.0392883938199073</v>
      </c>
      <c r="H45">
        <f t="shared" si="17"/>
        <v>8.7675024121506965E-4</v>
      </c>
      <c r="I45">
        <f t="shared" si="18"/>
        <v>0.99944184338950615</v>
      </c>
      <c r="J45">
        <f t="shared" si="19"/>
        <v>5.71510932011806E-2</v>
      </c>
      <c r="K45">
        <f t="shared" si="20"/>
        <v>3.4320372595534696</v>
      </c>
      <c r="L45">
        <f t="shared" si="21"/>
        <v>4.4320372595534696</v>
      </c>
      <c r="M45">
        <f t="shared" si="26"/>
        <v>0.22562987209650637</v>
      </c>
      <c r="N45">
        <v>0.33258680024457693</v>
      </c>
      <c r="O45">
        <f t="shared" si="28"/>
        <v>47.871593583569656</v>
      </c>
      <c r="P45">
        <f t="shared" si="22"/>
        <v>46.871593583569656</v>
      </c>
      <c r="Q45">
        <f t="shared" si="27"/>
        <v>2.1334883743968532E-2</v>
      </c>
      <c r="R45">
        <v>3.206313416224759E-2</v>
      </c>
      <c r="T45">
        <f t="shared" si="23"/>
        <v>10.453996726697163</v>
      </c>
      <c r="U45">
        <f t="shared" si="24"/>
        <v>31.553551060424617</v>
      </c>
      <c r="V45">
        <f t="shared" si="25"/>
        <v>0.31992815696265514</v>
      </c>
    </row>
    <row r="46" spans="1:27" x14ac:dyDescent="0.35">
      <c r="A46">
        <f t="shared" si="13"/>
        <v>0.48000000000000004</v>
      </c>
      <c r="B46">
        <v>0.25399139818451916</v>
      </c>
      <c r="C46">
        <v>1.54658890037462</v>
      </c>
      <c r="D46">
        <v>3.9474615228854502E-2</v>
      </c>
      <c r="E46">
        <f t="shared" si="14"/>
        <v>1.5068887854982718</v>
      </c>
      <c r="F46">
        <f t="shared" si="15"/>
        <v>0.35040214061701452</v>
      </c>
      <c r="G46">
        <f t="shared" si="16"/>
        <v>6.4671650765524484</v>
      </c>
      <c r="H46">
        <f t="shared" si="17"/>
        <v>1.5536239005716765E-3</v>
      </c>
      <c r="I46">
        <f t="shared" si="18"/>
        <v>0.99901093190817958</v>
      </c>
      <c r="J46">
        <f t="shared" si="19"/>
        <v>4.8409628523784838E-2</v>
      </c>
      <c r="K46">
        <f t="shared" si="20"/>
        <v>3.4585664042601145</v>
      </c>
      <c r="L46">
        <f t="shared" si="21"/>
        <v>4.4585664042601145</v>
      </c>
      <c r="M46">
        <f t="shared" si="26"/>
        <v>0.22428734021871027</v>
      </c>
      <c r="N46">
        <v>0.33294370167723308</v>
      </c>
      <c r="O46">
        <f t="shared" si="28"/>
        <v>57.294029289145975</v>
      </c>
      <c r="P46">
        <f t="shared" si="22"/>
        <v>56.294029289145975</v>
      </c>
      <c r="Q46">
        <f t="shared" si="27"/>
        <v>1.7763873231806657E-2</v>
      </c>
      <c r="R46">
        <v>2.6557986087290035E-2</v>
      </c>
      <c r="T46">
        <f t="shared" si="23"/>
        <v>10.472120907047412</v>
      </c>
      <c r="U46">
        <f t="shared" si="24"/>
        <v>34.301701913607822</v>
      </c>
      <c r="V46">
        <f t="shared" si="25"/>
        <v>0.29630702732700437</v>
      </c>
    </row>
    <row r="47" spans="1:27" x14ac:dyDescent="0.35">
      <c r="A47">
        <f t="shared" si="13"/>
        <v>0.52</v>
      </c>
      <c r="B47">
        <v>0.23610409453851136</v>
      </c>
      <c r="C47">
        <v>1.5467470854416101</v>
      </c>
      <c r="D47">
        <v>3.9511081583952903E-2</v>
      </c>
      <c r="E47">
        <f t="shared" si="14"/>
        <v>1.5130774649799399</v>
      </c>
      <c r="F47">
        <f t="shared" si="15"/>
        <v>0.32339489306408054</v>
      </c>
      <c r="G47">
        <f t="shared" si="16"/>
        <v>5.9192696756952081</v>
      </c>
      <c r="H47">
        <f t="shared" si="17"/>
        <v>2.6871619601880723E-3</v>
      </c>
      <c r="I47">
        <f t="shared" si="18"/>
        <v>0.99828929750580142</v>
      </c>
      <c r="J47">
        <f t="shared" si="19"/>
        <v>4.1625138962495714E-2</v>
      </c>
      <c r="K47">
        <f t="shared" si="20"/>
        <v>3.4691381881487158</v>
      </c>
      <c r="L47">
        <f t="shared" si="21"/>
        <v>4.4691381881487153</v>
      </c>
      <c r="M47">
        <f t="shared" si="26"/>
        <v>0.22375678663322726</v>
      </c>
      <c r="N47">
        <v>0.33321306665590478</v>
      </c>
      <c r="O47">
        <f t="shared" si="28"/>
        <v>67.463599540259935</v>
      </c>
      <c r="P47">
        <f t="shared" si="22"/>
        <v>66.463599540259935</v>
      </c>
      <c r="Q47">
        <f t="shared" si="27"/>
        <v>1.5045829701026889E-2</v>
      </c>
      <c r="R47">
        <v>2.225671732629337E-2</v>
      </c>
      <c r="T47">
        <f t="shared" si="23"/>
        <v>10.479283380451431</v>
      </c>
      <c r="U47">
        <f t="shared" si="24"/>
        <v>37.060936982566353</v>
      </c>
      <c r="V47">
        <f t="shared" si="25"/>
        <v>0.27556453392356939</v>
      </c>
    </row>
    <row r="48" spans="1:27" x14ac:dyDescent="0.35">
      <c r="A48">
        <f t="shared" si="13"/>
        <v>0.55999999999999994</v>
      </c>
      <c r="B48">
        <v>0.22048338089138422</v>
      </c>
      <c r="C48">
        <v>1.54690114224728</v>
      </c>
      <c r="D48">
        <v>3.9546596252231898E-2</v>
      </c>
      <c r="E48">
        <f t="shared" si="14"/>
        <v>1.5181024162802521</v>
      </c>
      <c r="F48">
        <f t="shared" si="15"/>
        <v>0.29972008749020723</v>
      </c>
      <c r="G48">
        <f t="shared" si="16"/>
        <v>5.3889541536765764</v>
      </c>
      <c r="H48">
        <f t="shared" si="17"/>
        <v>4.566746954576574E-3</v>
      </c>
      <c r="I48">
        <f t="shared" si="18"/>
        <v>0.99709270848791054</v>
      </c>
      <c r="J48">
        <f t="shared" si="19"/>
        <v>3.6188802536371439E-2</v>
      </c>
      <c r="K48">
        <f t="shared" si="20"/>
        <v>3.472346743585244</v>
      </c>
      <c r="L48">
        <f t="shared" si="21"/>
        <v>4.472346743585244</v>
      </c>
      <c r="M48">
        <f t="shared" si="26"/>
        <v>0.22359625881743525</v>
      </c>
      <c r="N48">
        <v>0.33341911068344993</v>
      </c>
      <c r="O48">
        <f t="shared" si="28"/>
        <v>78.471882839730327</v>
      </c>
      <c r="P48">
        <f t="shared" si="22"/>
        <v>77.471882839730327</v>
      </c>
      <c r="Q48">
        <f t="shared" si="27"/>
        <v>1.2907908822465905E-2</v>
      </c>
      <c r="R48">
        <v>1.8837814212126307E-2</v>
      </c>
      <c r="T48">
        <f t="shared" si="23"/>
        <v>10.481450505964624</v>
      </c>
      <c r="U48">
        <f t="shared" si="24"/>
        <v>39.827714868717649</v>
      </c>
      <c r="V48">
        <f t="shared" si="25"/>
        <v>0.25733481977149397</v>
      </c>
    </row>
    <row r="49" spans="1:22" x14ac:dyDescent="0.35">
      <c r="A49">
        <f t="shared" si="13"/>
        <v>0.6</v>
      </c>
      <c r="B49">
        <v>0.20673842670580198</v>
      </c>
      <c r="C49">
        <v>1.5469773268120199</v>
      </c>
      <c r="D49">
        <v>3.9564159056631999E-2</v>
      </c>
      <c r="E49">
        <f t="shared" si="14"/>
        <v>1.5221566922401271</v>
      </c>
      <c r="F49">
        <f t="shared" si="15"/>
        <v>0.27882463417158282</v>
      </c>
      <c r="G49">
        <f t="shared" si="16"/>
        <v>4.8716591312230397</v>
      </c>
      <c r="H49">
        <f t="shared" si="17"/>
        <v>7.6606447234214082E-3</v>
      </c>
      <c r="I49">
        <f t="shared" si="18"/>
        <v>0.99512303439801741</v>
      </c>
      <c r="J49">
        <f t="shared" si="19"/>
        <v>3.1654149792721409E-2</v>
      </c>
      <c r="K49">
        <f t="shared" si="20"/>
        <v>3.4809114009421118</v>
      </c>
      <c r="L49">
        <f t="shared" si="21"/>
        <v>4.4809114009421123</v>
      </c>
      <c r="M49">
        <f t="shared" si="26"/>
        <v>0.2231688847473641</v>
      </c>
      <c r="N49">
        <v>0.33357910707728922</v>
      </c>
      <c r="O49">
        <f t="shared" si="28"/>
        <v>90.604582717766448</v>
      </c>
      <c r="P49">
        <f t="shared" si="22"/>
        <v>89.604582717766448</v>
      </c>
      <c r="Q49">
        <f t="shared" si="27"/>
        <v>1.1160143484510908E-2</v>
      </c>
      <c r="R49">
        <v>1.6078029078027734E-2</v>
      </c>
      <c r="T49">
        <f t="shared" si="23"/>
        <v>10.487220055910585</v>
      </c>
      <c r="U49">
        <f t="shared" si="24"/>
        <v>42.598920462991863</v>
      </c>
      <c r="V49">
        <f t="shared" si="25"/>
        <v>0.24138497110761087</v>
      </c>
    </row>
    <row r="50" spans="1:22" x14ac:dyDescent="0.35">
      <c r="A50">
        <f t="shared" si="13"/>
        <v>0.64</v>
      </c>
      <c r="B50">
        <v>0.19456034545367465</v>
      </c>
      <c r="C50">
        <v>1.5470465838343801</v>
      </c>
      <c r="D50">
        <v>3.9580124856808202E-2</v>
      </c>
      <c r="E50">
        <f t="shared" si="14"/>
        <v>1.5255103236121079</v>
      </c>
      <c r="F50">
        <f t="shared" si="15"/>
        <v>0.26026519435027745</v>
      </c>
      <c r="G50">
        <f t="shared" si="16"/>
        <v>4.3641821323526839</v>
      </c>
      <c r="H50">
        <f t="shared" si="17"/>
        <v>1.2725058333987935E-2</v>
      </c>
      <c r="I50">
        <f t="shared" si="18"/>
        <v>0.99189875761489343</v>
      </c>
      <c r="J50">
        <f t="shared" si="19"/>
        <v>2.7852115041081683E-2</v>
      </c>
      <c r="K50">
        <f t="shared" si="20"/>
        <v>3.4904051773885456</v>
      </c>
      <c r="L50">
        <f t="shared" si="21"/>
        <v>4.4904051773885456</v>
      </c>
      <c r="M50">
        <f t="shared" si="26"/>
        <v>0.22269705304891066</v>
      </c>
      <c r="N50">
        <v>0.33370586374682953</v>
      </c>
      <c r="O50">
        <f t="shared" si="28"/>
        <v>103.82256695566106</v>
      </c>
      <c r="P50">
        <f t="shared" si="22"/>
        <v>102.82256695566106</v>
      </c>
      <c r="Q50">
        <f t="shared" si="27"/>
        <v>9.7254914909021672E-3</v>
      </c>
      <c r="R50">
        <v>1.3817996337856461E-2</v>
      </c>
      <c r="T50">
        <f t="shared" si="23"/>
        <v>10.493589783839706</v>
      </c>
      <c r="U50">
        <f t="shared" si="24"/>
        <v>45.37437904755015</v>
      </c>
      <c r="V50">
        <f t="shared" si="25"/>
        <v>0.22727125670183226</v>
      </c>
    </row>
    <row r="51" spans="1:22" x14ac:dyDescent="0.35">
      <c r="A51">
        <f t="shared" si="13"/>
        <v>0.68</v>
      </c>
      <c r="B51">
        <v>0.18370256182372233</v>
      </c>
      <c r="C51">
        <v>1.5472898810357001</v>
      </c>
      <c r="D51">
        <v>3.9636212086195902E-2</v>
      </c>
      <c r="E51">
        <f t="shared" si="14"/>
        <v>1.5284956988312612</v>
      </c>
      <c r="F51">
        <f t="shared" si="15"/>
        <v>0.24367581726208976</v>
      </c>
      <c r="G51">
        <f t="shared" si="16"/>
        <v>3.8642260874627383</v>
      </c>
      <c r="H51">
        <f t="shared" si="17"/>
        <v>2.0979152184936008E-2</v>
      </c>
      <c r="I51">
        <f t="shared" si="18"/>
        <v>0.98664327701845689</v>
      </c>
      <c r="J51">
        <f t="shared" si="19"/>
        <v>2.4809447011383687E-2</v>
      </c>
      <c r="K51">
        <f t="shared" si="20"/>
        <v>3.4727893439797186</v>
      </c>
      <c r="L51">
        <f t="shared" si="21"/>
        <v>4.4727893439797182</v>
      </c>
      <c r="M51">
        <f t="shared" si="26"/>
        <v>0.22357413307335372</v>
      </c>
      <c r="N51">
        <v>0.33380944750911146</v>
      </c>
      <c r="O51">
        <f t="shared" si="28"/>
        <v>117.24406157938347</v>
      </c>
      <c r="P51">
        <f t="shared" si="22"/>
        <v>116.24406157938347</v>
      </c>
      <c r="Q51">
        <f t="shared" si="27"/>
        <v>8.6025899853567709E-3</v>
      </c>
      <c r="R51">
        <v>1.1940578098201381E-2</v>
      </c>
      <c r="T51">
        <f t="shared" si="23"/>
        <v>10.481749203509725</v>
      </c>
      <c r="U51">
        <f t="shared" si="24"/>
        <v>48.156663766788277</v>
      </c>
      <c r="V51">
        <f t="shared" si="25"/>
        <v>0.21431664025828634</v>
      </c>
    </row>
    <row r="52" spans="1:22" x14ac:dyDescent="0.35">
      <c r="A52">
        <f t="shared" si="13"/>
        <v>0.72</v>
      </c>
      <c r="B52">
        <v>0.17396633489890731</v>
      </c>
      <c r="C52">
        <v>1.54735630123669</v>
      </c>
      <c r="D52">
        <v>3.96515239148083E-2</v>
      </c>
      <c r="E52">
        <f t="shared" si="14"/>
        <v>1.5308637667557314</v>
      </c>
      <c r="F52">
        <f t="shared" si="15"/>
        <v>0.22877913794773985</v>
      </c>
      <c r="G52">
        <f t="shared" si="16"/>
        <v>3.3701124819580688</v>
      </c>
      <c r="H52">
        <f t="shared" si="17"/>
        <v>3.4385769347271014E-2</v>
      </c>
      <c r="I52">
        <f t="shared" si="18"/>
        <v>0.97810502319786896</v>
      </c>
      <c r="J52">
        <f t="shared" si="19"/>
        <v>2.2104853207207689E-2</v>
      </c>
      <c r="K52">
        <f t="shared" si="20"/>
        <v>3.4639059894620599</v>
      </c>
      <c r="L52">
        <f t="shared" si="21"/>
        <v>4.4639059894620594</v>
      </c>
      <c r="M52">
        <f t="shared" si="26"/>
        <v>0.22401905469351269</v>
      </c>
      <c r="N52">
        <v>0.33389853908659506</v>
      </c>
      <c r="O52">
        <f t="shared" si="28"/>
        <v>131.88900724650463</v>
      </c>
      <c r="P52">
        <f t="shared" si="22"/>
        <v>130.88900724650463</v>
      </c>
      <c r="Q52">
        <f t="shared" si="27"/>
        <v>7.6400610031115111E-3</v>
      </c>
      <c r="R52">
        <v>1.0356504705548946E-2</v>
      </c>
      <c r="T52">
        <f t="shared" si="23"/>
        <v>10.475742761637578</v>
      </c>
      <c r="U52">
        <f t="shared" si="24"/>
        <v>50.940748514168469</v>
      </c>
      <c r="V52">
        <f t="shared" si="25"/>
        <v>0.20281811807736097</v>
      </c>
    </row>
    <row r="53" spans="1:22" x14ac:dyDescent="0.35">
      <c r="A53">
        <f t="shared" si="13"/>
        <v>0.76</v>
      </c>
      <c r="B53">
        <v>0.16519000207452064</v>
      </c>
      <c r="C53">
        <v>1.54726856958437</v>
      </c>
      <c r="D53">
        <v>3.9631299163840998E-2</v>
      </c>
      <c r="E53">
        <f t="shared" si="14"/>
        <v>1.5327227634521121</v>
      </c>
      <c r="F53">
        <f t="shared" si="15"/>
        <v>0.2153406526710572</v>
      </c>
      <c r="G53">
        <f t="shared" si="16"/>
        <v>2.8805943319568446</v>
      </c>
      <c r="H53">
        <f t="shared" si="17"/>
        <v>5.6101410062982145E-2</v>
      </c>
      <c r="I53">
        <f t="shared" si="18"/>
        <v>0.96426597166264183</v>
      </c>
      <c r="J53">
        <f t="shared" si="19"/>
        <v>1.9964172686088626E-2</v>
      </c>
      <c r="K53">
        <f t="shared" si="20"/>
        <v>3.4084389575423568</v>
      </c>
      <c r="L53">
        <f t="shared" si="21"/>
        <v>4.4084389575423568</v>
      </c>
      <c r="M53">
        <f t="shared" si="26"/>
        <v>0.22683766513067158</v>
      </c>
      <c r="N53">
        <v>0.33398175577987033</v>
      </c>
      <c r="O53">
        <f t="shared" si="28"/>
        <v>145.52368819054439</v>
      </c>
      <c r="P53">
        <f t="shared" si="22"/>
        <v>144.52368819054439</v>
      </c>
      <c r="Q53">
        <f t="shared" si="27"/>
        <v>6.9192809325594419E-3</v>
      </c>
      <c r="R53">
        <v>8.9939982366975171E-3</v>
      </c>
      <c r="T53">
        <f t="shared" si="23"/>
        <v>10.437691520735934</v>
      </c>
      <c r="U53">
        <f t="shared" si="24"/>
        <v>53.732327044485679</v>
      </c>
      <c r="V53">
        <f t="shared" si="25"/>
        <v>0.1918640033524508</v>
      </c>
    </row>
    <row r="54" spans="1:22" x14ac:dyDescent="0.35">
      <c r="A54">
        <f t="shared" si="13"/>
        <v>0.8</v>
      </c>
      <c r="B54">
        <v>0.15724091767301718</v>
      </c>
      <c r="C54">
        <v>1.5474088195505</v>
      </c>
      <c r="D54">
        <v>3.9663630945623397E-2</v>
      </c>
      <c r="E54">
        <f t="shared" si="14"/>
        <v>1.534529664575319</v>
      </c>
      <c r="F54">
        <f t="shared" si="15"/>
        <v>0.20314026430233123</v>
      </c>
      <c r="G54">
        <f t="shared" si="16"/>
        <v>2.3947314022101911</v>
      </c>
      <c r="H54">
        <f t="shared" si="17"/>
        <v>9.1197170991757989E-2</v>
      </c>
      <c r="I54">
        <f t="shared" si="18"/>
        <v>0.94186129784665529</v>
      </c>
      <c r="J54">
        <f t="shared" si="19"/>
        <v>1.8037560217081472E-2</v>
      </c>
      <c r="K54">
        <f t="shared" si="20"/>
        <v>3.3376652549326793</v>
      </c>
      <c r="L54">
        <f t="shared" si="21"/>
        <v>4.3376652549326788</v>
      </c>
      <c r="M54">
        <f t="shared" si="26"/>
        <v>0.23053876710814103</v>
      </c>
      <c r="N54">
        <v>0.33406941488217351</v>
      </c>
      <c r="O54">
        <f t="shared" si="28"/>
        <v>159.02171086313825</v>
      </c>
      <c r="P54">
        <f t="shared" si="22"/>
        <v>158.02171086313825</v>
      </c>
      <c r="Q54">
        <f t="shared" si="27"/>
        <v>6.3282443566637153E-3</v>
      </c>
      <c r="R54">
        <v>7.7898327122745397E-3</v>
      </c>
      <c r="T54">
        <f t="shared" si="23"/>
        <v>10.387726644040097</v>
      </c>
      <c r="U54">
        <f t="shared" si="24"/>
        <v>56.527144741926065</v>
      </c>
      <c r="V54">
        <f t="shared" si="25"/>
        <v>0.18173764400355735</v>
      </c>
    </row>
    <row r="55" spans="1:22" x14ac:dyDescent="0.35">
      <c r="A55">
        <f t="shared" si="13"/>
        <v>0.84</v>
      </c>
      <c r="B55">
        <v>0.15000935553343195</v>
      </c>
      <c r="C55">
        <v>1.5472751343773199</v>
      </c>
      <c r="D55">
        <v>3.9632812543549702E-2</v>
      </c>
      <c r="E55">
        <f t="shared" si="14"/>
        <v>1.5358217593241674</v>
      </c>
      <c r="F55">
        <f t="shared" si="15"/>
        <v>0.19204849616408051</v>
      </c>
      <c r="G55">
        <f t="shared" si="16"/>
        <v>1.9118052124995939</v>
      </c>
      <c r="H55">
        <f t="shared" si="17"/>
        <v>0.14781331116711502</v>
      </c>
      <c r="I55">
        <f t="shared" si="18"/>
        <v>0.90555304513907808</v>
      </c>
      <c r="J55">
        <f t="shared" si="19"/>
        <v>1.6294434649884525E-2</v>
      </c>
      <c r="K55">
        <f t="shared" si="20"/>
        <v>3.2327372094990414</v>
      </c>
      <c r="L55">
        <f t="shared" si="21"/>
        <v>4.2327372094990414</v>
      </c>
      <c r="M55">
        <f t="shared" si="26"/>
        <v>0.23625374090217932</v>
      </c>
      <c r="N55">
        <v>0.33417680804488348</v>
      </c>
      <c r="O55">
        <f t="shared" si="28"/>
        <v>171.0437201914803</v>
      </c>
      <c r="P55">
        <f t="shared" si="22"/>
        <v>170.0437201914803</v>
      </c>
      <c r="Q55">
        <f t="shared" si="27"/>
        <v>5.8808405207433408E-3</v>
      </c>
      <c r="R55">
        <v>6.678523130733964E-3</v>
      </c>
      <c r="T55">
        <f t="shared" si="23"/>
        <v>10.310574497820578</v>
      </c>
      <c r="U55">
        <f t="shared" si="24"/>
        <v>59.327113984240697</v>
      </c>
      <c r="V55">
        <f t="shared" si="25"/>
        <v>0.17207326829136438</v>
      </c>
    </row>
    <row r="56" spans="1:22" x14ac:dyDescent="0.35">
      <c r="A56">
        <f t="shared" si="13"/>
        <v>0.88</v>
      </c>
      <c r="B56">
        <v>0.14340385420547627</v>
      </c>
      <c r="C56">
        <v>1.43379291902482</v>
      </c>
      <c r="D56">
        <v>2.1521544739625899E-2</v>
      </c>
      <c r="E56">
        <f t="shared" si="14"/>
        <v>1.4221511361564552</v>
      </c>
      <c r="F56">
        <f t="shared" si="15"/>
        <v>0.18360680124275647</v>
      </c>
      <c r="G56">
        <f t="shared" si="16"/>
        <v>1.4312600556421569</v>
      </c>
      <c r="H56">
        <f t="shared" si="17"/>
        <v>0.23900756958649333</v>
      </c>
      <c r="I56">
        <f t="shared" si="18"/>
        <v>0.84635584745679748</v>
      </c>
      <c r="J56">
        <f t="shared" si="19"/>
        <v>1.495091889651138E-2</v>
      </c>
      <c r="K56">
        <f t="shared" si="20"/>
        <v>3.2519354491534047</v>
      </c>
      <c r="L56">
        <f t="shared" si="21"/>
        <v>4.2519354491534047</v>
      </c>
      <c r="M56">
        <f t="shared" si="26"/>
        <v>0.23518701352794719</v>
      </c>
      <c r="N56">
        <v>0.33433240933753477</v>
      </c>
      <c r="O56">
        <f t="shared" si="28"/>
        <v>174.4402386181433</v>
      </c>
      <c r="P56">
        <f t="shared" si="22"/>
        <v>173.4402386181433</v>
      </c>
      <c r="Q56">
        <f t="shared" si="27"/>
        <v>5.7656747244315175E-3</v>
      </c>
      <c r="R56">
        <v>5.5713345417732832E-3</v>
      </c>
      <c r="T56">
        <f t="shared" si="23"/>
        <v>10.324975317372711</v>
      </c>
      <c r="U56">
        <f t="shared" si="24"/>
        <v>62.145098688698688</v>
      </c>
      <c r="V56">
        <f t="shared" si="25"/>
        <v>0.16463915490405681</v>
      </c>
    </row>
    <row r="57" spans="1:22" x14ac:dyDescent="0.35">
      <c r="A57">
        <f t="shared" si="13"/>
        <v>0.91999999999999993</v>
      </c>
      <c r="B57">
        <v>0.1373476308652499</v>
      </c>
      <c r="C57">
        <v>1.43396064027864</v>
      </c>
      <c r="D57">
        <v>2.1526522579081001E-2</v>
      </c>
      <c r="E57">
        <f t="shared" si="14"/>
        <v>1.4234038358252019</v>
      </c>
      <c r="F57">
        <f t="shared" si="15"/>
        <v>0.17500865464535331</v>
      </c>
      <c r="G57">
        <f t="shared" si="16"/>
        <v>0.95266136863915851</v>
      </c>
      <c r="H57">
        <f t="shared" si="17"/>
        <v>0.38571313142970615</v>
      </c>
      <c r="I57">
        <f t="shared" si="18"/>
        <v>0.74791089479627082</v>
      </c>
      <c r="J57">
        <f t="shared" si="19"/>
        <v>1.3608900931046124E-2</v>
      </c>
      <c r="K57">
        <f t="shared" si="20"/>
        <v>2.8951321688015859</v>
      </c>
      <c r="L57">
        <f t="shared" si="21"/>
        <v>3.8951321688015859</v>
      </c>
      <c r="M57">
        <f t="shared" si="26"/>
        <v>0.25673069787197228</v>
      </c>
      <c r="N57">
        <v>0.33460622158182624</v>
      </c>
      <c r="O57">
        <f t="shared" si="28"/>
        <v>170.36204544356542</v>
      </c>
      <c r="P57">
        <f t="shared" si="22"/>
        <v>169.36204544356542</v>
      </c>
      <c r="Q57">
        <f t="shared" si="27"/>
        <v>5.9045106439342019E-3</v>
      </c>
      <c r="R57">
        <v>4.2902676827929762E-3</v>
      </c>
      <c r="T57">
        <f t="shared" si="23"/>
        <v>10.034135578728373</v>
      </c>
      <c r="U57">
        <f t="shared" si="24"/>
        <v>64.97884434515511</v>
      </c>
      <c r="V57">
        <f t="shared" si="25"/>
        <v>0.15321139774917775</v>
      </c>
    </row>
    <row r="58" spans="1:22" x14ac:dyDescent="0.35">
      <c r="A58">
        <f t="shared" si="13"/>
        <v>0.96000000000000008</v>
      </c>
      <c r="B58">
        <v>0.1317757939890048</v>
      </c>
      <c r="C58">
        <v>1.4334445874652899</v>
      </c>
      <c r="D58">
        <v>2.1511206523443301E-2</v>
      </c>
      <c r="E58">
        <f t="shared" si="14"/>
        <v>1.4238432643156527</v>
      </c>
      <c r="F58">
        <f t="shared" si="15"/>
        <v>0.16702238174141665</v>
      </c>
      <c r="G58">
        <f t="shared" si="16"/>
        <v>0.47566589572103907</v>
      </c>
      <c r="H58">
        <f t="shared" si="17"/>
        <v>0.62147108371358062</v>
      </c>
      <c r="I58">
        <f t="shared" si="18"/>
        <v>0.57307066044334365</v>
      </c>
      <c r="J58">
        <f t="shared" si="19"/>
        <v>1.2599766328108381E-2</v>
      </c>
      <c r="K58">
        <f t="shared" si="20"/>
        <v>2.2059694588640615</v>
      </c>
      <c r="L58">
        <f t="shared" si="21"/>
        <v>3.2059694588640615</v>
      </c>
      <c r="M58">
        <f t="shared" si="26"/>
        <v>0.31191813048472389</v>
      </c>
      <c r="N58">
        <v>0.33527310531036886</v>
      </c>
      <c r="O58">
        <f t="shared" si="28"/>
        <v>141.88200269518845</v>
      </c>
      <c r="P58">
        <f t="shared" si="22"/>
        <v>140.88200269518845</v>
      </c>
      <c r="Q58">
        <f t="shared" si="27"/>
        <v>7.0981387321955858E-3</v>
      </c>
      <c r="R58">
        <v>2.1963825275742631E-3</v>
      </c>
      <c r="T58">
        <f t="shared" si="23"/>
        <v>9.2891052384562283</v>
      </c>
      <c r="U58">
        <f t="shared" si="24"/>
        <v>67.88446919980818</v>
      </c>
      <c r="V58">
        <f t="shared" si="25"/>
        <v>0.13599237952325702</v>
      </c>
    </row>
    <row r="59" spans="1:22" x14ac:dyDescent="0.35">
      <c r="A59">
        <f t="shared" si="13"/>
        <v>1</v>
      </c>
      <c r="B59">
        <v>0.12663315832221106</v>
      </c>
      <c r="C59">
        <v>1.43374322213269</v>
      </c>
      <c r="D59">
        <v>2.15200697736047E-2</v>
      </c>
      <c r="E59">
        <f t="shared" si="14"/>
        <v>1.4249807306528501</v>
      </c>
      <c r="F59">
        <f t="shared" si="15"/>
        <v>0.15972682205114494</v>
      </c>
      <c r="G59">
        <f t="shared" si="16"/>
        <v>0</v>
      </c>
      <c r="H59">
        <f t="shared" si="17"/>
        <v>1</v>
      </c>
      <c r="I59">
        <f t="shared" si="18"/>
        <v>0</v>
      </c>
      <c r="J59">
        <f t="shared" si="19"/>
        <v>1.1565259198011062E-2</v>
      </c>
      <c r="K59">
        <f t="shared" si="20"/>
        <v>0</v>
      </c>
      <c r="L59">
        <f t="shared" si="21"/>
        <v>1</v>
      </c>
      <c r="M59">
        <v>0.31191999999999998</v>
      </c>
      <c r="N59">
        <v>1</v>
      </c>
      <c r="O59">
        <f t="shared" si="28"/>
        <v>0</v>
      </c>
      <c r="P59">
        <f t="shared" si="22"/>
        <v>-1</v>
      </c>
      <c r="Q59">
        <v>7.1000000000000004E-3</v>
      </c>
      <c r="R59">
        <v>-1</v>
      </c>
      <c r="T59">
        <f t="shared" si="23"/>
        <v>9.2890800000000002</v>
      </c>
      <c r="U59">
        <f t="shared" si="24"/>
        <v>70.713119437966782</v>
      </c>
      <c r="V59">
        <f t="shared" si="25"/>
        <v>0.13061501346959326</v>
      </c>
    </row>
    <row r="65" spans="9:9" x14ac:dyDescent="0.35">
      <c r="I65" s="23"/>
    </row>
    <row r="66" spans="9:9" x14ac:dyDescent="0.35">
      <c r="I66" s="23"/>
    </row>
    <row r="67" spans="9:9" x14ac:dyDescent="0.35">
      <c r="I67" s="23"/>
    </row>
    <row r="68" spans="9:9" x14ac:dyDescent="0.35">
      <c r="I68" s="23"/>
    </row>
    <row r="69" spans="9:9" x14ac:dyDescent="0.35">
      <c r="I69" s="23"/>
    </row>
    <row r="70" spans="9:9" x14ac:dyDescent="0.35">
      <c r="I70" s="23"/>
    </row>
    <row r="71" spans="9:9" x14ac:dyDescent="0.35">
      <c r="I71" s="23"/>
    </row>
    <row r="72" spans="9:9" x14ac:dyDescent="0.35">
      <c r="I72" s="23"/>
    </row>
    <row r="73" spans="9:9" x14ac:dyDescent="0.35">
      <c r="I73" s="23"/>
    </row>
    <row r="74" spans="9:9" x14ac:dyDescent="0.35">
      <c r="I74" s="23"/>
    </row>
    <row r="75" spans="9:9" x14ac:dyDescent="0.35">
      <c r="I75" s="23"/>
    </row>
    <row r="76" spans="9:9" x14ac:dyDescent="0.35">
      <c r="I76" s="23"/>
    </row>
    <row r="77" spans="9:9" x14ac:dyDescent="0.35">
      <c r="I77" s="23"/>
    </row>
    <row r="78" spans="9:9" x14ac:dyDescent="0.35">
      <c r="I78" s="23"/>
    </row>
    <row r="79" spans="9:9" x14ac:dyDescent="0.35">
      <c r="I79" s="23"/>
    </row>
    <row r="80" spans="9:9" x14ac:dyDescent="0.35">
      <c r="I80" s="23"/>
    </row>
    <row r="81" spans="9:9" x14ac:dyDescent="0.35">
      <c r="I81" s="23"/>
    </row>
    <row r="82" spans="9:9" x14ac:dyDescent="0.35">
      <c r="I82" s="23"/>
    </row>
    <row r="83" spans="9:9" x14ac:dyDescent="0.35">
      <c r="I83" s="23"/>
    </row>
    <row r="84" spans="9:9" x14ac:dyDescent="0.35">
      <c r="I84" s="23"/>
    </row>
    <row r="85" spans="9:9" x14ac:dyDescent="0.35">
      <c r="I85" s="23"/>
    </row>
    <row r="86" spans="9:9" x14ac:dyDescent="0.35">
      <c r="I86" s="23"/>
    </row>
    <row r="87" spans="9:9" x14ac:dyDescent="0.35">
      <c r="I87" s="23"/>
    </row>
    <row r="88" spans="9:9" x14ac:dyDescent="0.35">
      <c r="I88" s="23"/>
    </row>
    <row r="89" spans="9:9" x14ac:dyDescent="0.35">
      <c r="I89" s="23"/>
    </row>
  </sheetData>
  <mergeCells count="10">
    <mergeCell ref="Z25:Z26"/>
    <mergeCell ref="Y30:Y31"/>
    <mergeCell ref="Y32:Y33"/>
    <mergeCell ref="Z32:Z33"/>
    <mergeCell ref="G33:I33"/>
    <mergeCell ref="K33:M33"/>
    <mergeCell ref="O33:Q33"/>
    <mergeCell ref="A32:K32"/>
    <mergeCell ref="Y23:Y24"/>
    <mergeCell ref="Y25:Y2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D7B1-2A3F-45BA-9FF7-718A3AECDD1A}">
  <dimension ref="A3:C60"/>
  <sheetViews>
    <sheetView workbookViewId="0">
      <selection activeCell="A60" sqref="A60"/>
    </sheetView>
  </sheetViews>
  <sheetFormatPr defaultRowHeight="14.5" x14ac:dyDescent="0.35"/>
  <sheetData>
    <row r="3" spans="1:3" x14ac:dyDescent="0.35">
      <c r="A3" s="127" t="s">
        <v>192</v>
      </c>
      <c r="B3" s="127"/>
      <c r="C3" s="127"/>
    </row>
    <row r="4" spans="1:3" x14ac:dyDescent="0.35">
      <c r="A4" t="s">
        <v>91</v>
      </c>
      <c r="B4" t="s">
        <v>75</v>
      </c>
      <c r="C4" t="s">
        <v>76</v>
      </c>
    </row>
    <row r="6" spans="1:3" x14ac:dyDescent="0.35">
      <c r="A6">
        <v>53.617080408437097</v>
      </c>
      <c r="B6">
        <v>0</v>
      </c>
      <c r="C6">
        <v>0</v>
      </c>
    </row>
    <row r="7" spans="1:3" x14ac:dyDescent="0.35">
      <c r="A7">
        <v>45.5920285974005</v>
      </c>
      <c r="B7">
        <v>0</v>
      </c>
      <c r="C7">
        <v>0</v>
      </c>
    </row>
    <row r="8" spans="1:3" x14ac:dyDescent="0.35">
      <c r="A8">
        <v>14.998309347553301</v>
      </c>
      <c r="B8">
        <v>1.3024911354178601</v>
      </c>
      <c r="C8">
        <v>0.12872015395088099</v>
      </c>
    </row>
    <row r="9" spans="1:3" x14ac:dyDescent="0.35">
      <c r="A9">
        <v>14.9988246887185</v>
      </c>
      <c r="B9">
        <v>1.3024953058093001</v>
      </c>
      <c r="C9">
        <v>0.128729863126957</v>
      </c>
    </row>
    <row r="10" spans="1:3" x14ac:dyDescent="0.35">
      <c r="A10">
        <v>15.0024619520418</v>
      </c>
      <c r="B10">
        <v>1.3025247403137099</v>
      </c>
      <c r="C10">
        <v>0.12879839021623701</v>
      </c>
    </row>
    <row r="11" spans="1:3" x14ac:dyDescent="0.35">
      <c r="A11">
        <v>14.9984131126348</v>
      </c>
      <c r="B11">
        <v>1.3024919751353901</v>
      </c>
      <c r="C11">
        <v>0.128722108914922</v>
      </c>
    </row>
    <row r="12" spans="1:3" x14ac:dyDescent="0.35">
      <c r="A12">
        <v>15.003041405412599</v>
      </c>
      <c r="B12">
        <v>1.3025294295323</v>
      </c>
      <c r="C12">
        <v>0.12880930728474499</v>
      </c>
    </row>
    <row r="13" spans="1:3" x14ac:dyDescent="0.35">
      <c r="A13">
        <v>15.003900711980499</v>
      </c>
      <c r="B13">
        <v>1.3025363834591199</v>
      </c>
      <c r="C13">
        <v>0.12882549686813899</v>
      </c>
    </row>
    <row r="14" spans="1:3" x14ac:dyDescent="0.35">
      <c r="A14">
        <v>12.9999559435081</v>
      </c>
      <c r="B14">
        <v>1.5477390268302</v>
      </c>
      <c r="C14">
        <v>3.97397535287893E-2</v>
      </c>
    </row>
    <row r="15" spans="1:3" x14ac:dyDescent="0.35">
      <c r="A15">
        <v>12.9964967617573</v>
      </c>
      <c r="B15">
        <v>1.54763242415852</v>
      </c>
      <c r="C15">
        <v>3.97151784475024E-2</v>
      </c>
    </row>
    <row r="16" spans="1:3" x14ac:dyDescent="0.35">
      <c r="A16">
        <v>12.9992582962716</v>
      </c>
      <c r="B16">
        <v>1.5477175272199799</v>
      </c>
      <c r="C16">
        <v>3.9734797230224099E-2</v>
      </c>
    </row>
    <row r="17" spans="1:3" x14ac:dyDescent="0.35">
      <c r="A17">
        <v>12.999349454219001</v>
      </c>
      <c r="B17">
        <v>1.54772033646259</v>
      </c>
      <c r="C17">
        <v>3.97354448440621E-2</v>
      </c>
    </row>
    <row r="18" spans="1:3" x14ac:dyDescent="0.35">
      <c r="A18">
        <v>12.9993074481555</v>
      </c>
      <c r="B18">
        <v>1.5477190419487601</v>
      </c>
      <c r="C18">
        <v>3.9735146420185899E-2</v>
      </c>
    </row>
    <row r="19" spans="1:3" x14ac:dyDescent="0.35">
      <c r="A19">
        <v>13.0001584626325</v>
      </c>
      <c r="B19">
        <v>1.54774526792456</v>
      </c>
      <c r="C19">
        <v>3.9741192286363303E-2</v>
      </c>
    </row>
    <row r="20" spans="1:3" x14ac:dyDescent="0.35">
      <c r="A20">
        <v>12.999265342731601</v>
      </c>
      <c r="B20">
        <v>1.54771774437291</v>
      </c>
      <c r="C20">
        <v>3.97348472904233E-2</v>
      </c>
    </row>
    <row r="21" spans="1:3" x14ac:dyDescent="0.35">
      <c r="A21">
        <v>12.998758510799901</v>
      </c>
      <c r="B21">
        <v>1.5477021251768499</v>
      </c>
      <c r="C21">
        <v>3.9731246601932398E-2</v>
      </c>
    </row>
    <row r="22" spans="1:3" x14ac:dyDescent="0.35">
      <c r="A22">
        <v>13.0043895137378</v>
      </c>
      <c r="B22">
        <v>1.54787565753236</v>
      </c>
      <c r="C22">
        <v>3.9771250962759602E-2</v>
      </c>
    </row>
    <row r="23" spans="1:3" x14ac:dyDescent="0.35">
      <c r="A23">
        <v>13.004688783595601</v>
      </c>
      <c r="B23">
        <v>1.54788488022394</v>
      </c>
      <c r="C23">
        <v>3.9773377067026702E-2</v>
      </c>
    </row>
    <row r="24" spans="1:3" x14ac:dyDescent="0.35">
      <c r="A24">
        <v>13.000343083090501</v>
      </c>
      <c r="B24">
        <v>1.54775095743019</v>
      </c>
      <c r="C24">
        <v>3.9742503886356799E-2</v>
      </c>
    </row>
    <row r="25" spans="1:3" x14ac:dyDescent="0.35">
      <c r="A25">
        <v>13.003733935991599</v>
      </c>
      <c r="B25">
        <v>1.54785545439062</v>
      </c>
      <c r="C25">
        <v>3.9766593538673997E-2</v>
      </c>
    </row>
    <row r="26" spans="1:3" x14ac:dyDescent="0.35">
      <c r="A26">
        <v>12.9985994361056</v>
      </c>
      <c r="B26">
        <v>1.54769722292289</v>
      </c>
      <c r="C26">
        <v>3.9730116486827997E-2</v>
      </c>
    </row>
    <row r="27" spans="1:3" x14ac:dyDescent="0.35">
      <c r="A27">
        <v>11.9998071202787</v>
      </c>
      <c r="B27">
        <v>1.4345394948950001</v>
      </c>
      <c r="C27">
        <v>2.15437025445437E-2</v>
      </c>
    </row>
    <row r="28" spans="1:3" x14ac:dyDescent="0.35">
      <c r="A28">
        <v>12.0032982972215</v>
      </c>
      <c r="B28">
        <v>1.4347344189369999</v>
      </c>
      <c r="C28">
        <v>2.1549487742095301E-2</v>
      </c>
    </row>
    <row r="29" spans="1:3" x14ac:dyDescent="0.35">
      <c r="A29">
        <v>11.996812350846399</v>
      </c>
      <c r="B29">
        <v>1.4343722869384501</v>
      </c>
      <c r="C29">
        <v>2.1538739939361701E-2</v>
      </c>
    </row>
    <row r="30" spans="1:3" x14ac:dyDescent="0.35">
      <c r="A30">
        <v>11.9955274508324</v>
      </c>
      <c r="B30">
        <v>1.4343005466891301</v>
      </c>
      <c r="C30">
        <v>2.1536610743237601E-2</v>
      </c>
    </row>
    <row r="33" spans="1:3" x14ac:dyDescent="0.35">
      <c r="A33" s="129" t="s">
        <v>191</v>
      </c>
      <c r="B33" s="129"/>
      <c r="C33" s="129"/>
    </row>
    <row r="34" spans="1:3" x14ac:dyDescent="0.35">
      <c r="A34" t="s">
        <v>91</v>
      </c>
      <c r="B34" t="s">
        <v>75</v>
      </c>
      <c r="C34" t="s">
        <v>76</v>
      </c>
    </row>
    <row r="36" spans="1:3" x14ac:dyDescent="0.35">
      <c r="A36">
        <v>48.617080408437097</v>
      </c>
      <c r="B36">
        <v>0</v>
      </c>
      <c r="C36">
        <v>0</v>
      </c>
    </row>
    <row r="37" spans="1:3" x14ac:dyDescent="0.35">
      <c r="A37">
        <v>40.5920285974005</v>
      </c>
      <c r="B37">
        <v>0</v>
      </c>
      <c r="C37">
        <v>0</v>
      </c>
    </row>
    <row r="38" spans="1:3" x14ac:dyDescent="0.35">
      <c r="A38">
        <v>9.9983093475533007</v>
      </c>
      <c r="B38">
        <v>1.165317919</v>
      </c>
      <c r="C38">
        <v>7.0586789298321795E-2</v>
      </c>
    </row>
    <row r="39" spans="1:3" x14ac:dyDescent="0.35">
      <c r="A39">
        <v>9.9988246887185497</v>
      </c>
      <c r="B39">
        <v>1.165317919</v>
      </c>
      <c r="C39">
        <v>7.0594785091091503E-2</v>
      </c>
    </row>
    <row r="40" spans="1:3" x14ac:dyDescent="0.35">
      <c r="A40">
        <v>10.0024619520418</v>
      </c>
      <c r="B40">
        <v>1.165317919</v>
      </c>
      <c r="C40">
        <v>7.0651219169605498E-2</v>
      </c>
    </row>
    <row r="41" spans="1:3" x14ac:dyDescent="0.35">
      <c r="A41">
        <v>9.9984131126348395</v>
      </c>
      <c r="B41">
        <v>1.165317919</v>
      </c>
      <c r="C41">
        <v>7.0588399268851396E-2</v>
      </c>
    </row>
    <row r="42" spans="1:3" x14ac:dyDescent="0.35">
      <c r="A42">
        <v>10.003041405412599</v>
      </c>
      <c r="B42">
        <v>1.165317919</v>
      </c>
      <c r="C42">
        <v>7.0660209697406398E-2</v>
      </c>
    </row>
    <row r="43" spans="1:3" x14ac:dyDescent="0.35">
      <c r="A43">
        <v>10.003900711980499</v>
      </c>
      <c r="B43">
        <v>1.165317919</v>
      </c>
      <c r="C43">
        <v>7.0673542296674205E-2</v>
      </c>
    </row>
    <row r="44" spans="1:3" x14ac:dyDescent="0.35">
      <c r="A44">
        <v>7.9999559435081098</v>
      </c>
      <c r="B44">
        <v>1.2079074328847099</v>
      </c>
      <c r="C44">
        <v>1.1805669912771899E-2</v>
      </c>
    </row>
    <row r="45" spans="1:3" x14ac:dyDescent="0.35">
      <c r="A45">
        <v>7.9964967617573297</v>
      </c>
      <c r="B45">
        <v>1.20754193802233</v>
      </c>
      <c r="C45">
        <v>1.1800208785551099E-2</v>
      </c>
    </row>
    <row r="46" spans="1:3" x14ac:dyDescent="0.35">
      <c r="A46">
        <v>7.9992582962715497</v>
      </c>
      <c r="B46">
        <v>1.20783371993781</v>
      </c>
      <c r="C46">
        <v>1.18045685134849E-2</v>
      </c>
    </row>
    <row r="47" spans="1:3" x14ac:dyDescent="0.35">
      <c r="A47">
        <v>7.9993494542190504</v>
      </c>
      <c r="B47">
        <v>1.20784335162642</v>
      </c>
      <c r="C47">
        <v>1.18047124276196E-2</v>
      </c>
    </row>
    <row r="48" spans="1:3" x14ac:dyDescent="0.35">
      <c r="A48">
        <v>7.9993074481554904</v>
      </c>
      <c r="B48">
        <v>1.2078389132934499</v>
      </c>
      <c r="C48">
        <v>1.18046461112264E-2</v>
      </c>
    </row>
    <row r="49" spans="1:3" x14ac:dyDescent="0.35">
      <c r="A49">
        <v>8.0001584626324895</v>
      </c>
      <c r="B49">
        <v>1.2079288309218199</v>
      </c>
      <c r="C49">
        <v>1.1805989636562901E-2</v>
      </c>
    </row>
    <row r="50" spans="1:3" x14ac:dyDescent="0.35">
      <c r="A50">
        <v>7.9992653427315599</v>
      </c>
      <c r="B50">
        <v>1.2078344644621199</v>
      </c>
      <c r="C50">
        <v>1.18045796379696E-2</v>
      </c>
    </row>
    <row r="51" spans="1:3" x14ac:dyDescent="0.35">
      <c r="A51">
        <v>7.9987585107999504</v>
      </c>
      <c r="B51">
        <v>1.2077809129345001</v>
      </c>
      <c r="C51">
        <v>1.18037794852579E-2</v>
      </c>
    </row>
    <row r="52" spans="1:3" x14ac:dyDescent="0.35">
      <c r="A52">
        <v>8.00438951373782</v>
      </c>
      <c r="B52">
        <v>1.20837588099113</v>
      </c>
      <c r="C52">
        <v>1.1812669340038599E-2</v>
      </c>
    </row>
    <row r="53" spans="1:3" x14ac:dyDescent="0.35">
      <c r="A53">
        <v>8.0046887835955793</v>
      </c>
      <c r="B53">
        <v>1.20840750164693</v>
      </c>
      <c r="C53">
        <v>1.18131418074844E-2</v>
      </c>
    </row>
    <row r="54" spans="1:3" x14ac:dyDescent="0.35">
      <c r="A54">
        <v>8.0003430830904492</v>
      </c>
      <c r="B54">
        <v>1.2079483377976501</v>
      </c>
      <c r="C54">
        <v>1.1806281103123799E-2</v>
      </c>
    </row>
    <row r="55" spans="1:3" x14ac:dyDescent="0.35">
      <c r="A55">
        <v>8.0037339359916295</v>
      </c>
      <c r="B55">
        <v>1.20830661307884</v>
      </c>
      <c r="C55">
        <v>1.18116343572788E-2</v>
      </c>
    </row>
    <row r="56" spans="1:3" x14ac:dyDescent="0.35">
      <c r="A56">
        <v>7.9985994361055601</v>
      </c>
      <c r="B56">
        <v>1.2077641052071999</v>
      </c>
      <c r="C56">
        <v>1.18035283486579E-2</v>
      </c>
    </row>
    <row r="57" spans="1:3" x14ac:dyDescent="0.35">
      <c r="A57">
        <v>6.9998071202787404</v>
      </c>
      <c r="B57">
        <v>1.0040967583589999</v>
      </c>
      <c r="C57">
        <v>1.417822135369E-2</v>
      </c>
    </row>
    <row r="58" spans="1:3" x14ac:dyDescent="0.35">
      <c r="A58">
        <v>7.0032982972215203</v>
      </c>
      <c r="B58">
        <v>1.00428472083343</v>
      </c>
      <c r="C58">
        <v>1.4179892627425901E-2</v>
      </c>
    </row>
    <row r="59" spans="1:3" x14ac:dyDescent="0.35">
      <c r="A59">
        <v>6.9968123508464197</v>
      </c>
      <c r="B59">
        <v>1.0039355221105699</v>
      </c>
      <c r="C59">
        <v>1.41767877169597E-2</v>
      </c>
    </row>
    <row r="60" spans="1:3" x14ac:dyDescent="0.35">
      <c r="A60">
        <v>6.9955274508324097</v>
      </c>
      <c r="B60">
        <v>1.00386634401104</v>
      </c>
      <c r="C60">
        <v>1.41761726179023E-2</v>
      </c>
    </row>
  </sheetData>
  <mergeCells count="2">
    <mergeCell ref="A3:C3"/>
    <mergeCell ref="A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286-9158-4785-A97A-7C919C781AFC}">
  <dimension ref="A1:W107"/>
  <sheetViews>
    <sheetView topLeftCell="A8" zoomScaleNormal="100" workbookViewId="0">
      <selection activeCell="A24" sqref="A24:XFD24"/>
    </sheetView>
  </sheetViews>
  <sheetFormatPr defaultRowHeight="14.5" x14ac:dyDescent="0.35"/>
  <cols>
    <col min="1" max="1" width="10.453125" customWidth="1"/>
    <col min="2" max="4" width="12.453125" bestFit="1" customWidth="1"/>
    <col min="5" max="5" width="12.7265625" bestFit="1" customWidth="1"/>
    <col min="7" max="9" width="12.453125" bestFit="1" customWidth="1"/>
    <col min="10" max="10" width="12.7265625" bestFit="1" customWidth="1"/>
  </cols>
  <sheetData>
    <row r="1" spans="1:15" x14ac:dyDescent="0.35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3" spans="1:15" x14ac:dyDescent="0.35">
      <c r="A3" s="93" t="s">
        <v>27</v>
      </c>
      <c r="B3" s="9" t="s">
        <v>28</v>
      </c>
      <c r="C3" s="9" t="s">
        <v>28</v>
      </c>
      <c r="D3" s="9" t="s">
        <v>28</v>
      </c>
      <c r="E3" s="9" t="s">
        <v>28</v>
      </c>
      <c r="G3" s="11" t="s">
        <v>9</v>
      </c>
      <c r="H3" s="11" t="s">
        <v>9</v>
      </c>
      <c r="I3" s="11" t="s">
        <v>9</v>
      </c>
      <c r="J3" s="11" t="s">
        <v>9</v>
      </c>
      <c r="L3" t="s">
        <v>29</v>
      </c>
    </row>
    <row r="4" spans="1:15" x14ac:dyDescent="0.35">
      <c r="A4" s="93"/>
      <c r="B4" s="9" t="s">
        <v>30</v>
      </c>
      <c r="C4" s="9" t="s">
        <v>31</v>
      </c>
      <c r="D4" s="9" t="s">
        <v>32</v>
      </c>
      <c r="E4" s="9" t="s">
        <v>33</v>
      </c>
      <c r="G4" s="12" t="s">
        <v>30</v>
      </c>
      <c r="H4" s="12" t="s">
        <v>31</v>
      </c>
      <c r="I4" s="12" t="s">
        <v>32</v>
      </c>
      <c r="J4" s="12" t="s">
        <v>33</v>
      </c>
    </row>
    <row r="5" spans="1:15" x14ac:dyDescent="0.35">
      <c r="A5" s="10">
        <v>4</v>
      </c>
      <c r="B5" s="10">
        <v>89</v>
      </c>
      <c r="C5" s="10">
        <v>89</v>
      </c>
      <c r="D5" s="10">
        <v>89</v>
      </c>
      <c r="E5" s="10">
        <v>89</v>
      </c>
      <c r="G5" s="10">
        <v>0.83799999999999997</v>
      </c>
      <c r="H5" s="10">
        <v>0.83799999999999997</v>
      </c>
      <c r="I5" s="10">
        <v>0.83799999999999997</v>
      </c>
      <c r="J5" s="10">
        <v>0.83599999999999997</v>
      </c>
    </row>
    <row r="6" spans="1:15" x14ac:dyDescent="0.35">
      <c r="A6" s="10">
        <v>4.5</v>
      </c>
      <c r="B6" s="10">
        <v>142</v>
      </c>
      <c r="C6" s="10">
        <v>142</v>
      </c>
      <c r="D6" s="10">
        <v>142</v>
      </c>
      <c r="E6" s="10">
        <v>142</v>
      </c>
      <c r="G6" s="10">
        <v>0.81899999999999995</v>
      </c>
      <c r="H6" s="10">
        <v>0.81699999999999995</v>
      </c>
      <c r="I6" s="10">
        <v>0.81699999999999995</v>
      </c>
      <c r="J6" s="10">
        <v>0.8</v>
      </c>
    </row>
    <row r="7" spans="1:15" x14ac:dyDescent="0.35">
      <c r="A7" s="10">
        <v>5</v>
      </c>
      <c r="B7" s="10">
        <v>204</v>
      </c>
      <c r="C7" s="10">
        <v>204</v>
      </c>
      <c r="D7" s="10">
        <v>204</v>
      </c>
      <c r="E7" s="10">
        <v>203</v>
      </c>
      <c r="G7" s="10">
        <v>0.80800000000000005</v>
      </c>
      <c r="H7" s="10">
        <v>0.80600000000000005</v>
      </c>
      <c r="I7" s="10">
        <v>0.80600000000000005</v>
      </c>
      <c r="J7" s="10">
        <v>0.76600000000000001</v>
      </c>
    </row>
    <row r="8" spans="1:15" x14ac:dyDescent="0.35">
      <c r="A8" s="10">
        <v>5.5</v>
      </c>
      <c r="B8" s="10">
        <v>279</v>
      </c>
      <c r="C8" s="10">
        <v>278</v>
      </c>
      <c r="D8" s="10">
        <v>278</v>
      </c>
      <c r="E8" s="10">
        <v>276</v>
      </c>
      <c r="G8" s="10">
        <v>0.80400000000000005</v>
      </c>
      <c r="H8" s="10">
        <v>0.80100000000000005</v>
      </c>
      <c r="I8" s="10">
        <v>0.80100000000000005</v>
      </c>
      <c r="J8" s="10">
        <v>0.748</v>
      </c>
    </row>
    <row r="9" spans="1:15" x14ac:dyDescent="0.35">
      <c r="A9" s="10">
        <v>6</v>
      </c>
      <c r="B9" s="10">
        <v>368</v>
      </c>
      <c r="C9" s="10">
        <v>367</v>
      </c>
      <c r="D9" s="10">
        <v>368</v>
      </c>
      <c r="E9" s="10">
        <v>363</v>
      </c>
      <c r="G9" s="10">
        <v>0.80400000000000005</v>
      </c>
      <c r="H9" s="10">
        <v>0.80100000000000005</v>
      </c>
      <c r="I9" s="10">
        <v>0.8</v>
      </c>
      <c r="J9" s="10">
        <v>0.745</v>
      </c>
    </row>
    <row r="10" spans="1:15" x14ac:dyDescent="0.35">
      <c r="A10" s="10">
        <v>6.5</v>
      </c>
      <c r="B10" s="10">
        <v>470</v>
      </c>
      <c r="C10" s="10">
        <v>470</v>
      </c>
      <c r="D10" s="10">
        <v>470</v>
      </c>
      <c r="E10" s="10">
        <v>469</v>
      </c>
      <c r="G10" s="10">
        <v>0.80700000000000005</v>
      </c>
      <c r="H10" s="10">
        <v>0.80400000000000005</v>
      </c>
      <c r="I10" s="10">
        <v>0.8</v>
      </c>
      <c r="J10" s="10">
        <v>0.76500000000000001</v>
      </c>
    </row>
    <row r="11" spans="1:15" x14ac:dyDescent="0.35">
      <c r="A11" s="10">
        <v>7</v>
      </c>
      <c r="B11" s="10">
        <v>594</v>
      </c>
      <c r="C11" s="10">
        <v>594</v>
      </c>
      <c r="D11" s="10">
        <v>594</v>
      </c>
      <c r="E11" s="10">
        <v>591</v>
      </c>
      <c r="G11" s="10">
        <v>0.80700000000000005</v>
      </c>
      <c r="H11" s="10">
        <v>0.80200000000000005</v>
      </c>
      <c r="I11" s="10">
        <v>0.78900000000000003</v>
      </c>
      <c r="J11" s="10">
        <v>0.75800000000000001</v>
      </c>
    </row>
    <row r="12" spans="1:15" x14ac:dyDescent="0.35">
      <c r="A12" s="10">
        <v>7.5</v>
      </c>
      <c r="B12" s="10">
        <v>736</v>
      </c>
      <c r="C12" s="10">
        <v>736</v>
      </c>
      <c r="D12" s="10">
        <v>732</v>
      </c>
      <c r="E12" s="10">
        <v>730</v>
      </c>
      <c r="G12" s="10">
        <v>0.80100000000000005</v>
      </c>
      <c r="H12" s="10">
        <v>0.79300000000000004</v>
      </c>
      <c r="I12" s="10">
        <v>0.76200000000000001</v>
      </c>
      <c r="J12" s="10">
        <v>0.748</v>
      </c>
    </row>
    <row r="13" spans="1:15" x14ac:dyDescent="0.35">
      <c r="A13" s="10">
        <v>8</v>
      </c>
      <c r="B13" s="10">
        <v>896</v>
      </c>
      <c r="C13" s="10">
        <v>895</v>
      </c>
      <c r="D13" s="10">
        <v>874</v>
      </c>
      <c r="E13" s="10">
        <v>884</v>
      </c>
      <c r="G13" s="10">
        <v>0.78400000000000003</v>
      </c>
      <c r="H13" s="10">
        <v>0.77300000000000002</v>
      </c>
      <c r="I13" s="10">
        <v>0.71899999999999997</v>
      </c>
      <c r="J13" s="10">
        <v>0.73099999999999998</v>
      </c>
    </row>
    <row r="14" spans="1:15" x14ac:dyDescent="0.35">
      <c r="A14" s="10">
        <v>8.5</v>
      </c>
      <c r="B14" s="10">
        <v>1069</v>
      </c>
      <c r="C14" s="10">
        <v>1063</v>
      </c>
      <c r="D14" s="10">
        <v>1014</v>
      </c>
      <c r="E14" s="10">
        <v>1049</v>
      </c>
      <c r="G14" s="10">
        <v>0.755</v>
      </c>
      <c r="H14" s="10">
        <v>0.74</v>
      </c>
      <c r="I14" s="10">
        <v>0.66600000000000004</v>
      </c>
      <c r="J14" s="10">
        <v>0.70699999999999996</v>
      </c>
    </row>
    <row r="15" spans="1:15" x14ac:dyDescent="0.35">
      <c r="A15" s="10">
        <v>9</v>
      </c>
      <c r="B15" s="10">
        <v>1247</v>
      </c>
      <c r="C15" s="10">
        <v>1233</v>
      </c>
      <c r="D15" s="10">
        <v>1150</v>
      </c>
      <c r="E15" s="10">
        <v>1224</v>
      </c>
      <c r="G15" s="10">
        <v>0.71699999999999997</v>
      </c>
      <c r="H15" s="10">
        <v>0.69699999999999995</v>
      </c>
      <c r="I15" s="10">
        <v>0.61199999999999999</v>
      </c>
      <c r="J15" s="10">
        <v>0.68</v>
      </c>
    </row>
    <row r="16" spans="1:15" x14ac:dyDescent="0.35">
      <c r="A16" s="10">
        <v>9.5</v>
      </c>
      <c r="B16" s="10">
        <v>1428</v>
      </c>
      <c r="C16" s="10">
        <v>1401</v>
      </c>
      <c r="D16" s="10">
        <v>1284</v>
      </c>
      <c r="E16" s="10">
        <v>1407</v>
      </c>
      <c r="G16" s="10">
        <v>0.67400000000000004</v>
      </c>
      <c r="H16" s="10">
        <v>0.64900000000000002</v>
      </c>
      <c r="I16" s="10">
        <v>0.56200000000000006</v>
      </c>
      <c r="J16" s="10">
        <v>0.64900000000000002</v>
      </c>
    </row>
    <row r="17" spans="1:10" x14ac:dyDescent="0.35">
      <c r="A17" s="10">
        <v>10</v>
      </c>
      <c r="B17" s="10">
        <v>1599</v>
      </c>
      <c r="C17" s="10">
        <v>1561</v>
      </c>
      <c r="D17" s="10">
        <v>1413</v>
      </c>
      <c r="E17" s="10">
        <v>1583</v>
      </c>
      <c r="G17" s="10">
        <v>0.628</v>
      </c>
      <c r="H17" s="10">
        <v>0.60099999999999998</v>
      </c>
      <c r="I17" s="10">
        <v>0.51600000000000001</v>
      </c>
      <c r="J17" s="10">
        <v>0.61299999999999999</v>
      </c>
    </row>
    <row r="18" spans="1:10" x14ac:dyDescent="0.35">
      <c r="A18" s="10">
        <v>10.5</v>
      </c>
      <c r="B18" s="10">
        <v>1753</v>
      </c>
      <c r="C18" s="10">
        <v>1710</v>
      </c>
      <c r="D18" s="10">
        <v>1539</v>
      </c>
      <c r="E18" s="10">
        <v>1743</v>
      </c>
      <c r="G18" s="10">
        <v>0.57799999999999996</v>
      </c>
      <c r="H18" s="10">
        <v>0.55400000000000005</v>
      </c>
      <c r="I18" s="10">
        <v>0.47599999999999998</v>
      </c>
      <c r="J18" s="10">
        <v>0.57099999999999995</v>
      </c>
    </row>
    <row r="19" spans="1:10" x14ac:dyDescent="0.35">
      <c r="A19" s="10">
        <v>11</v>
      </c>
      <c r="B19" s="10">
        <v>1881</v>
      </c>
      <c r="C19" s="10">
        <v>1842</v>
      </c>
      <c r="D19" s="10">
        <v>1662</v>
      </c>
      <c r="E19" s="10">
        <v>1876</v>
      </c>
      <c r="G19" s="10">
        <v>0.52500000000000002</v>
      </c>
      <c r="H19" s="10">
        <v>0.50700000000000001</v>
      </c>
      <c r="I19" s="10">
        <v>0.44</v>
      </c>
      <c r="J19" s="10">
        <v>0.52200000000000002</v>
      </c>
    </row>
    <row r="20" spans="1:10" x14ac:dyDescent="0.35">
      <c r="A20" s="10">
        <v>11.5</v>
      </c>
      <c r="B20" s="10">
        <v>1951</v>
      </c>
      <c r="C20" s="10">
        <v>1928</v>
      </c>
      <c r="D20" s="10">
        <v>1768</v>
      </c>
      <c r="E20" s="10">
        <v>1949</v>
      </c>
      <c r="G20" s="10">
        <v>0.46300000000000002</v>
      </c>
      <c r="H20" s="10">
        <v>0.45300000000000001</v>
      </c>
      <c r="I20" s="10">
        <v>0.40400000000000003</v>
      </c>
      <c r="J20" s="10">
        <v>0.46100000000000002</v>
      </c>
    </row>
    <row r="21" spans="1:10" x14ac:dyDescent="0.35">
      <c r="A21" s="10">
        <v>12</v>
      </c>
      <c r="B21" s="10">
        <v>1981</v>
      </c>
      <c r="C21" s="10">
        <v>1971</v>
      </c>
      <c r="D21" s="10">
        <v>1849</v>
      </c>
      <c r="E21" s="10">
        <v>1980</v>
      </c>
      <c r="G21" s="10">
        <v>0.40200000000000002</v>
      </c>
      <c r="H21" s="10">
        <v>0.39800000000000002</v>
      </c>
      <c r="I21" s="10">
        <v>0.36599999999999999</v>
      </c>
      <c r="J21" s="10">
        <v>0.40100000000000002</v>
      </c>
    </row>
    <row r="22" spans="1:10" x14ac:dyDescent="0.35">
      <c r="A22" s="10">
        <v>12.5</v>
      </c>
      <c r="B22" s="10">
        <v>1994</v>
      </c>
      <c r="C22" s="10">
        <v>1989</v>
      </c>
      <c r="D22" s="10">
        <v>1899</v>
      </c>
      <c r="E22" s="10">
        <v>1993</v>
      </c>
      <c r="G22" s="10">
        <v>0.34899999999999998</v>
      </c>
      <c r="H22" s="10">
        <v>0.34799999999999998</v>
      </c>
      <c r="I22" s="10">
        <v>0.32900000000000001</v>
      </c>
      <c r="J22" s="10">
        <v>0.34899999999999998</v>
      </c>
    </row>
    <row r="23" spans="1:10" x14ac:dyDescent="0.35">
      <c r="A23" s="10">
        <v>13</v>
      </c>
      <c r="B23" s="10">
        <v>1998</v>
      </c>
      <c r="C23" s="10">
        <v>1996</v>
      </c>
      <c r="D23" s="10">
        <v>1927</v>
      </c>
      <c r="E23" s="10">
        <v>1998</v>
      </c>
      <c r="G23" s="10">
        <v>0.30599999999999999</v>
      </c>
      <c r="H23" s="10">
        <v>0.30499999999999999</v>
      </c>
      <c r="I23" s="10">
        <v>0.29199999999999998</v>
      </c>
      <c r="J23" s="10">
        <v>0.30599999999999999</v>
      </c>
    </row>
    <row r="24" spans="1:10" x14ac:dyDescent="0.35">
      <c r="A24" s="10">
        <v>13.5</v>
      </c>
      <c r="B24" s="10">
        <v>2000</v>
      </c>
      <c r="C24" s="10">
        <v>1999</v>
      </c>
      <c r="D24" s="10">
        <v>1944</v>
      </c>
      <c r="E24" s="10">
        <v>2000</v>
      </c>
      <c r="G24" s="10">
        <v>0.27</v>
      </c>
      <c r="H24" s="10">
        <v>0.27</v>
      </c>
      <c r="I24" s="10">
        <v>0.26100000000000001</v>
      </c>
      <c r="J24" s="10">
        <v>0.27</v>
      </c>
    </row>
    <row r="25" spans="1:10" x14ac:dyDescent="0.35">
      <c r="A25" s="10">
        <v>14</v>
      </c>
      <c r="B25" s="10">
        <v>2000</v>
      </c>
      <c r="C25" s="10">
        <v>2000</v>
      </c>
      <c r="D25" s="10">
        <v>1955</v>
      </c>
      <c r="E25" s="10">
        <v>2000</v>
      </c>
      <c r="G25" s="10">
        <v>0.23899999999999999</v>
      </c>
      <c r="H25" s="10">
        <v>0.23899999999999999</v>
      </c>
      <c r="I25" s="10">
        <v>0.23300000000000001</v>
      </c>
      <c r="J25" s="10">
        <v>0.23899999999999999</v>
      </c>
    </row>
    <row r="26" spans="1:10" x14ac:dyDescent="0.35">
      <c r="A26" s="10">
        <v>14.5</v>
      </c>
      <c r="B26" s="10">
        <v>2000</v>
      </c>
      <c r="C26" s="10">
        <v>2000</v>
      </c>
      <c r="D26" s="10">
        <v>1963</v>
      </c>
      <c r="E26" s="10">
        <v>2000</v>
      </c>
      <c r="G26" s="10">
        <v>0.214</v>
      </c>
      <c r="H26" s="10">
        <v>0.214</v>
      </c>
      <c r="I26" s="10">
        <v>0.20899999999999999</v>
      </c>
      <c r="J26" s="10">
        <v>0.214</v>
      </c>
    </row>
    <row r="27" spans="1:10" x14ac:dyDescent="0.35">
      <c r="A27" s="10">
        <v>15</v>
      </c>
      <c r="B27" s="10">
        <v>2000</v>
      </c>
      <c r="C27" s="10">
        <v>2000</v>
      </c>
      <c r="D27" s="10">
        <v>1973</v>
      </c>
      <c r="E27" s="10">
        <v>2000</v>
      </c>
      <c r="G27" s="10">
        <v>0.192</v>
      </c>
      <c r="H27" s="10">
        <v>0.192</v>
      </c>
      <c r="I27" s="10">
        <v>0.189</v>
      </c>
      <c r="J27" s="10">
        <v>0.192</v>
      </c>
    </row>
    <row r="28" spans="1:10" x14ac:dyDescent="0.35">
      <c r="A28" s="10">
        <v>15.5</v>
      </c>
      <c r="B28" s="10">
        <v>2000</v>
      </c>
      <c r="C28" s="10">
        <v>2000</v>
      </c>
      <c r="D28" s="10">
        <v>1980</v>
      </c>
      <c r="E28" s="10">
        <v>2000</v>
      </c>
      <c r="G28" s="10">
        <v>0.17299999999999999</v>
      </c>
      <c r="H28" s="10">
        <v>0.17299999999999999</v>
      </c>
      <c r="I28" s="10">
        <v>0.17100000000000001</v>
      </c>
      <c r="J28" s="10">
        <v>0.17299999999999999</v>
      </c>
    </row>
    <row r="29" spans="1:10" x14ac:dyDescent="0.35">
      <c r="A29" s="10">
        <v>16</v>
      </c>
      <c r="B29" s="10">
        <v>2000</v>
      </c>
      <c r="C29" s="10">
        <v>2000</v>
      </c>
      <c r="D29" s="10">
        <v>1987</v>
      </c>
      <c r="E29" s="10">
        <v>2000</v>
      </c>
      <c r="G29" s="10">
        <v>0.157</v>
      </c>
      <c r="H29" s="10">
        <v>0.157</v>
      </c>
      <c r="I29" s="10">
        <v>0.156</v>
      </c>
      <c r="J29" s="10">
        <v>0.157</v>
      </c>
    </row>
    <row r="30" spans="1:10" x14ac:dyDescent="0.35">
      <c r="A30" s="10">
        <v>16.5</v>
      </c>
      <c r="B30" s="10">
        <v>2000</v>
      </c>
      <c r="C30" s="10">
        <v>2000</v>
      </c>
      <c r="D30" s="10">
        <v>1992</v>
      </c>
      <c r="E30" s="10">
        <v>2000</v>
      </c>
      <c r="G30" s="10">
        <v>0.14299999999999999</v>
      </c>
      <c r="H30" s="10">
        <v>0.14299999999999999</v>
      </c>
      <c r="I30" s="10">
        <v>0.14199999999999999</v>
      </c>
      <c r="J30" s="10">
        <v>0.14299999999999999</v>
      </c>
    </row>
    <row r="31" spans="1:10" x14ac:dyDescent="0.35">
      <c r="A31" s="10">
        <v>17</v>
      </c>
      <c r="B31" s="10">
        <v>2000</v>
      </c>
      <c r="C31" s="10">
        <v>2000</v>
      </c>
      <c r="D31" s="10">
        <v>1995</v>
      </c>
      <c r="E31" s="10">
        <v>2000</v>
      </c>
      <c r="G31" s="10">
        <v>0.13100000000000001</v>
      </c>
      <c r="H31" s="10">
        <v>0.13100000000000001</v>
      </c>
      <c r="I31" s="10">
        <v>0.13</v>
      </c>
      <c r="J31" s="10">
        <v>0.13100000000000001</v>
      </c>
    </row>
    <row r="32" spans="1:10" x14ac:dyDescent="0.35">
      <c r="A32" s="10">
        <v>17.5</v>
      </c>
      <c r="B32" s="10">
        <v>2000</v>
      </c>
      <c r="C32" s="10">
        <v>2000</v>
      </c>
      <c r="D32" s="10">
        <v>1998</v>
      </c>
      <c r="E32" s="10">
        <v>2000</v>
      </c>
      <c r="G32" s="10">
        <v>0.11899999999999999</v>
      </c>
      <c r="H32" s="10">
        <v>0.11899999999999999</v>
      </c>
      <c r="I32" s="10">
        <v>0.11899999999999999</v>
      </c>
      <c r="J32" s="10">
        <v>0.11899999999999999</v>
      </c>
    </row>
    <row r="33" spans="1:10" x14ac:dyDescent="0.35">
      <c r="A33" s="10">
        <v>18</v>
      </c>
      <c r="B33" s="10">
        <v>2000</v>
      </c>
      <c r="C33" s="10">
        <v>2000</v>
      </c>
      <c r="D33" s="10">
        <v>1999</v>
      </c>
      <c r="E33" s="10">
        <v>2000</v>
      </c>
      <c r="G33" s="10">
        <v>0.11</v>
      </c>
      <c r="H33" s="10">
        <v>0.11</v>
      </c>
      <c r="I33" s="10">
        <v>0.11</v>
      </c>
      <c r="J33" s="10">
        <v>0.11</v>
      </c>
    </row>
    <row r="34" spans="1:10" x14ac:dyDescent="0.35">
      <c r="A34" s="10">
        <v>18.5</v>
      </c>
      <c r="B34" s="10">
        <v>2000</v>
      </c>
      <c r="C34" s="10">
        <v>2000</v>
      </c>
      <c r="D34" s="10">
        <v>2000</v>
      </c>
      <c r="E34" s="10">
        <v>2000</v>
      </c>
      <c r="G34" s="10">
        <v>0.10100000000000001</v>
      </c>
      <c r="H34" s="10">
        <v>0.10100000000000001</v>
      </c>
      <c r="I34" s="10">
        <v>0.10100000000000001</v>
      </c>
      <c r="J34" s="10">
        <v>0.10100000000000001</v>
      </c>
    </row>
    <row r="35" spans="1:10" x14ac:dyDescent="0.35">
      <c r="A35" s="10">
        <v>19</v>
      </c>
      <c r="B35" s="10">
        <v>2000</v>
      </c>
      <c r="C35" s="10">
        <v>2000</v>
      </c>
      <c r="D35" s="10">
        <v>2000</v>
      </c>
      <c r="E35" s="10">
        <v>2000</v>
      </c>
      <c r="G35" s="10">
        <v>9.4E-2</v>
      </c>
      <c r="H35" s="10">
        <v>9.4E-2</v>
      </c>
      <c r="I35" s="10">
        <v>9.4E-2</v>
      </c>
      <c r="J35" s="10">
        <v>9.4E-2</v>
      </c>
    </row>
    <row r="36" spans="1:10" x14ac:dyDescent="0.35">
      <c r="A36" s="10">
        <v>19.5</v>
      </c>
      <c r="B36" s="10">
        <v>2000</v>
      </c>
      <c r="C36" s="10">
        <v>2000</v>
      </c>
      <c r="D36" s="10">
        <v>2000</v>
      </c>
      <c r="E36" s="10">
        <v>2000</v>
      </c>
      <c r="G36" s="10">
        <v>8.6999999999999994E-2</v>
      </c>
      <c r="H36" s="10">
        <v>8.6999999999999994E-2</v>
      </c>
      <c r="I36" s="10">
        <v>8.6999999999999994E-2</v>
      </c>
      <c r="J36" s="10">
        <v>8.6999999999999994E-2</v>
      </c>
    </row>
    <row r="37" spans="1:10" x14ac:dyDescent="0.35">
      <c r="A37" s="10">
        <v>20</v>
      </c>
      <c r="B37" s="10">
        <v>2000</v>
      </c>
      <c r="C37" s="10">
        <v>2000</v>
      </c>
      <c r="D37" s="10">
        <v>2000</v>
      </c>
      <c r="E37" s="10">
        <v>2000</v>
      </c>
      <c r="G37" s="10">
        <v>8.1000000000000003E-2</v>
      </c>
      <c r="H37" s="10">
        <v>8.1000000000000003E-2</v>
      </c>
      <c r="I37" s="10">
        <v>8.1000000000000003E-2</v>
      </c>
      <c r="J37" s="10">
        <v>8.1000000000000003E-2</v>
      </c>
    </row>
    <row r="38" spans="1:10" x14ac:dyDescent="0.35">
      <c r="A38" s="10">
        <v>20.5</v>
      </c>
      <c r="B38" s="10">
        <v>2000</v>
      </c>
      <c r="C38" s="10">
        <v>2000</v>
      </c>
      <c r="D38" s="10">
        <v>2000</v>
      </c>
      <c r="E38" s="10">
        <v>2000</v>
      </c>
      <c r="G38" s="10">
        <v>7.4999999999999997E-2</v>
      </c>
      <c r="H38" s="10">
        <v>7.4999999999999997E-2</v>
      </c>
      <c r="I38" s="10">
        <v>7.4999999999999997E-2</v>
      </c>
      <c r="J38" s="10">
        <v>7.4999999999999997E-2</v>
      </c>
    </row>
    <row r="39" spans="1:10" x14ac:dyDescent="0.35">
      <c r="A39" s="10">
        <v>21</v>
      </c>
      <c r="B39" s="10">
        <v>2000</v>
      </c>
      <c r="C39" s="10">
        <v>2000</v>
      </c>
      <c r="D39" s="10">
        <v>2000</v>
      </c>
      <c r="E39" s="10">
        <v>2000</v>
      </c>
      <c r="G39" s="10">
        <v>7.0000000000000007E-2</v>
      </c>
      <c r="H39" s="10">
        <v>7.0000000000000007E-2</v>
      </c>
      <c r="I39" s="10">
        <v>7.0000000000000007E-2</v>
      </c>
      <c r="J39" s="10">
        <v>7.0000000000000007E-2</v>
      </c>
    </row>
    <row r="40" spans="1:10" x14ac:dyDescent="0.35">
      <c r="A40" s="10">
        <v>21.5</v>
      </c>
      <c r="B40" s="10">
        <v>2000</v>
      </c>
      <c r="C40" s="10">
        <v>2000</v>
      </c>
      <c r="D40" s="10">
        <v>2000</v>
      </c>
      <c r="E40" s="10">
        <v>2000</v>
      </c>
      <c r="G40" s="10">
        <v>6.6000000000000003E-2</v>
      </c>
      <c r="H40" s="10">
        <v>6.6000000000000003E-2</v>
      </c>
      <c r="I40" s="10">
        <v>6.6000000000000003E-2</v>
      </c>
      <c r="J40" s="10">
        <v>6.6000000000000003E-2</v>
      </c>
    </row>
    <row r="41" spans="1:10" x14ac:dyDescent="0.35">
      <c r="A41" s="10">
        <v>22</v>
      </c>
      <c r="B41" s="10">
        <v>2000</v>
      </c>
      <c r="C41" s="10">
        <v>2000</v>
      </c>
      <c r="D41" s="10">
        <v>2000</v>
      </c>
      <c r="E41" s="10">
        <v>2000</v>
      </c>
      <c r="G41" s="10">
        <v>6.2E-2</v>
      </c>
      <c r="H41" s="10">
        <v>6.2E-2</v>
      </c>
      <c r="I41" s="10">
        <v>6.2E-2</v>
      </c>
      <c r="J41" s="10">
        <v>6.2E-2</v>
      </c>
    </row>
    <row r="42" spans="1:10" x14ac:dyDescent="0.35">
      <c r="A42" s="10">
        <v>22.5</v>
      </c>
      <c r="B42" s="10">
        <v>2000</v>
      </c>
      <c r="C42" s="10">
        <v>2000</v>
      </c>
      <c r="D42" s="10">
        <v>2000</v>
      </c>
      <c r="E42" s="10">
        <v>2000</v>
      </c>
      <c r="G42" s="10">
        <v>5.8000000000000003E-2</v>
      </c>
      <c r="H42" s="10">
        <v>5.8000000000000003E-2</v>
      </c>
      <c r="I42" s="10">
        <v>5.8000000000000003E-2</v>
      </c>
      <c r="J42" s="10">
        <v>5.8000000000000003E-2</v>
      </c>
    </row>
    <row r="43" spans="1:10" x14ac:dyDescent="0.35">
      <c r="A43" s="10">
        <v>23</v>
      </c>
      <c r="B43" s="10">
        <v>2000</v>
      </c>
      <c r="C43" s="10">
        <v>2000</v>
      </c>
      <c r="D43" s="10">
        <v>2000</v>
      </c>
      <c r="E43" s="10">
        <v>2000</v>
      </c>
      <c r="G43" s="10">
        <v>5.3999999999999999E-2</v>
      </c>
      <c r="H43" s="10">
        <v>5.5E-2</v>
      </c>
      <c r="I43" s="10">
        <v>5.3999999999999999E-2</v>
      </c>
      <c r="J43" s="10">
        <v>5.3999999999999999E-2</v>
      </c>
    </row>
    <row r="44" spans="1:10" x14ac:dyDescent="0.35">
      <c r="A44" s="10">
        <v>23.5</v>
      </c>
      <c r="B44" s="10">
        <v>2000</v>
      </c>
      <c r="C44" s="10">
        <v>2000</v>
      </c>
      <c r="D44" s="10">
        <v>2000</v>
      </c>
      <c r="E44" s="10">
        <v>2000</v>
      </c>
      <c r="G44" s="10">
        <v>5.0999999999999997E-2</v>
      </c>
      <c r="H44" s="10">
        <v>5.0999999999999997E-2</v>
      </c>
      <c r="I44" s="10">
        <v>5.0999999999999997E-2</v>
      </c>
      <c r="J44" s="10">
        <v>5.0999999999999997E-2</v>
      </c>
    </row>
    <row r="45" spans="1:10" x14ac:dyDescent="0.35">
      <c r="A45" s="10">
        <v>24</v>
      </c>
      <c r="B45" s="10">
        <v>2000</v>
      </c>
      <c r="C45" s="10">
        <v>2000</v>
      </c>
      <c r="D45" s="10">
        <v>2000</v>
      </c>
      <c r="E45" s="10">
        <v>2000</v>
      </c>
      <c r="G45" s="10">
        <v>4.8000000000000001E-2</v>
      </c>
      <c r="H45" s="10">
        <v>4.8000000000000001E-2</v>
      </c>
      <c r="I45" s="10">
        <v>4.8000000000000001E-2</v>
      </c>
      <c r="J45" s="10">
        <v>4.8000000000000001E-2</v>
      </c>
    </row>
    <row r="46" spans="1:10" x14ac:dyDescent="0.35">
      <c r="A46" s="10">
        <v>24.5</v>
      </c>
      <c r="B46" s="10">
        <v>2000</v>
      </c>
      <c r="C46" s="10">
        <v>2000</v>
      </c>
      <c r="D46" s="10">
        <v>2000</v>
      </c>
      <c r="E46" s="10">
        <v>2000</v>
      </c>
      <c r="G46" s="10">
        <v>4.4999999999999998E-2</v>
      </c>
      <c r="H46" s="10">
        <v>4.4999999999999998E-2</v>
      </c>
      <c r="I46" s="10">
        <v>4.4999999999999998E-2</v>
      </c>
      <c r="J46" s="10">
        <v>4.4999999999999998E-2</v>
      </c>
    </row>
    <row r="47" spans="1:10" x14ac:dyDescent="0.35">
      <c r="A47" s="10">
        <v>25</v>
      </c>
      <c r="B47" s="10">
        <v>2000</v>
      </c>
      <c r="C47" s="10">
        <v>2000</v>
      </c>
      <c r="D47" s="10">
        <v>2000</v>
      </c>
      <c r="E47" s="10">
        <v>2000</v>
      </c>
      <c r="G47" s="10">
        <v>4.2999999999999997E-2</v>
      </c>
      <c r="H47" s="10">
        <v>4.2999999999999997E-2</v>
      </c>
      <c r="I47" s="10">
        <v>4.2999999999999997E-2</v>
      </c>
      <c r="J47" s="10">
        <v>4.2999999999999997E-2</v>
      </c>
    </row>
    <row r="49" spans="1:13" x14ac:dyDescent="0.35">
      <c r="A49" s="94" t="s">
        <v>34</v>
      </c>
      <c r="B49" s="94"/>
      <c r="C49" s="94"/>
      <c r="D49" s="94"/>
      <c r="E49" s="94"/>
      <c r="G49" s="94" t="s">
        <v>35</v>
      </c>
      <c r="H49" s="94"/>
      <c r="I49" s="94"/>
      <c r="J49" s="94"/>
      <c r="K49" s="94"/>
    </row>
    <row r="50" spans="1:13" x14ac:dyDescent="0.35">
      <c r="A50" s="24"/>
      <c r="B50" s="24"/>
      <c r="C50" s="24"/>
      <c r="D50" s="24"/>
      <c r="E50" s="24"/>
    </row>
    <row r="51" spans="1:13" ht="29" x14ac:dyDescent="0.35">
      <c r="A51" s="38" t="s">
        <v>36</v>
      </c>
      <c r="B51" s="7">
        <f>45</f>
        <v>45</v>
      </c>
      <c r="C51" s="39" t="s">
        <v>8</v>
      </c>
      <c r="D51" s="24"/>
      <c r="E51" s="24"/>
    </row>
    <row r="52" spans="1:13" ht="29" x14ac:dyDescent="0.35">
      <c r="A52" s="38" t="s">
        <v>37</v>
      </c>
      <c r="B52" s="22">
        <f>(14.9*2*3.14159)/60</f>
        <v>1.5603230333333333</v>
      </c>
      <c r="C52" s="10" t="s">
        <v>38</v>
      </c>
      <c r="E52" s="96" t="s">
        <v>39</v>
      </c>
    </row>
    <row r="53" spans="1:13" x14ac:dyDescent="0.35">
      <c r="E53" s="96"/>
      <c r="G53" t="s">
        <v>40</v>
      </c>
      <c r="H53">
        <v>0.5</v>
      </c>
    </row>
    <row r="54" spans="1:13" x14ac:dyDescent="0.35">
      <c r="A54" s="36" t="s">
        <v>41</v>
      </c>
      <c r="B54" s="37" t="s">
        <v>42</v>
      </c>
      <c r="C54" s="37" t="s">
        <v>43</v>
      </c>
      <c r="D54" s="37" t="s">
        <v>44</v>
      </c>
      <c r="E54" s="37" t="s">
        <v>45</v>
      </c>
      <c r="G54" t="s">
        <v>46</v>
      </c>
      <c r="H54">
        <v>116</v>
      </c>
    </row>
    <row r="55" spans="1:13" x14ac:dyDescent="0.35">
      <c r="A55" s="21">
        <v>4</v>
      </c>
      <c r="B55" s="40">
        <f>(B$52*B$51)/A55</f>
        <v>17.553634124999999</v>
      </c>
      <c r="C55" s="21">
        <v>5.2</v>
      </c>
      <c r="D55" s="44">
        <f>(C55*A55)/B$51</f>
        <v>0.46222222222222226</v>
      </c>
      <c r="E55" s="45">
        <f>(60*D55)/(2*PI())</f>
        <v>4.4138970884152311</v>
      </c>
      <c r="G55" t="s">
        <v>47</v>
      </c>
      <c r="H55">
        <v>0.4</v>
      </c>
    </row>
    <row r="56" spans="1:13" x14ac:dyDescent="0.35">
      <c r="A56" s="21">
        <v>5</v>
      </c>
      <c r="B56" s="40">
        <f t="shared" ref="B56:B77" si="0">(B$52*B$51)/A56</f>
        <v>14.0429073</v>
      </c>
      <c r="C56" s="21">
        <v>5.2</v>
      </c>
      <c r="D56" s="44">
        <f t="shared" ref="D56:D64" si="1">(C56*A56)/B$51</f>
        <v>0.57777777777777772</v>
      </c>
      <c r="E56" s="45">
        <f t="shared" ref="E56:E65" si="2">(60*D56)/(2*PI())</f>
        <v>5.5173713605190384</v>
      </c>
      <c r="G56" t="s">
        <v>48</v>
      </c>
      <c r="H56">
        <v>0</v>
      </c>
    </row>
    <row r="57" spans="1:13" x14ac:dyDescent="0.35">
      <c r="A57" s="21">
        <v>6</v>
      </c>
      <c r="B57" s="40">
        <f t="shared" si="0"/>
        <v>11.702422749999998</v>
      </c>
      <c r="C57" s="21">
        <v>5.2</v>
      </c>
      <c r="D57" s="44">
        <f t="shared" si="1"/>
        <v>0.69333333333333336</v>
      </c>
      <c r="E57" s="45">
        <f t="shared" si="2"/>
        <v>6.6208456326228466</v>
      </c>
      <c r="G57" t="s">
        <v>49</v>
      </c>
      <c r="H57">
        <v>5</v>
      </c>
    </row>
    <row r="58" spans="1:13" x14ac:dyDescent="0.35">
      <c r="A58" s="21">
        <v>7</v>
      </c>
      <c r="B58" s="40">
        <f t="shared" si="0"/>
        <v>10.030648071428571</v>
      </c>
      <c r="C58" s="21">
        <v>5.2</v>
      </c>
      <c r="D58" s="44">
        <f t="shared" si="1"/>
        <v>0.80888888888888888</v>
      </c>
      <c r="E58" s="45">
        <f t="shared" si="2"/>
        <v>7.724319904726654</v>
      </c>
      <c r="G58" t="s">
        <v>50</v>
      </c>
      <c r="H58">
        <v>21</v>
      </c>
    </row>
    <row r="59" spans="1:13" x14ac:dyDescent="0.35">
      <c r="A59" s="21">
        <v>8</v>
      </c>
      <c r="B59" s="40">
        <f t="shared" si="0"/>
        <v>8.7768170624999993</v>
      </c>
      <c r="C59" s="21">
        <v>5.2</v>
      </c>
      <c r="D59" s="44">
        <f t="shared" si="1"/>
        <v>0.92444444444444451</v>
      </c>
      <c r="E59" s="45">
        <f t="shared" si="2"/>
        <v>8.8277941768304622</v>
      </c>
      <c r="G59" t="s">
        <v>51</v>
      </c>
      <c r="H59">
        <v>5.2</v>
      </c>
    </row>
    <row r="60" spans="1:13" x14ac:dyDescent="0.35">
      <c r="A60" s="21">
        <v>9</v>
      </c>
      <c r="B60" s="40">
        <f t="shared" si="0"/>
        <v>7.8016151666666662</v>
      </c>
      <c r="C60" s="21">
        <v>5.2</v>
      </c>
      <c r="D60" s="44">
        <f t="shared" si="1"/>
        <v>1.04</v>
      </c>
      <c r="E60" s="45">
        <f t="shared" si="2"/>
        <v>9.9312684489342704</v>
      </c>
      <c r="G60" s="41" t="s">
        <v>52</v>
      </c>
      <c r="H60" s="10"/>
      <c r="I60" s="10"/>
      <c r="J60" s="41" t="s">
        <v>53</v>
      </c>
      <c r="K60" s="10"/>
      <c r="L60" s="10"/>
      <c r="M60" s="41" t="s">
        <v>6</v>
      </c>
    </row>
    <row r="61" spans="1:13" x14ac:dyDescent="0.35">
      <c r="A61" s="21">
        <v>10</v>
      </c>
      <c r="B61" s="40">
        <f t="shared" si="0"/>
        <v>7.0214536499999998</v>
      </c>
      <c r="C61" s="21">
        <v>5.2</v>
      </c>
      <c r="D61" s="44">
        <f t="shared" si="1"/>
        <v>1.1555555555555554</v>
      </c>
      <c r="E61" s="45">
        <f t="shared" si="2"/>
        <v>11.034742721038077</v>
      </c>
      <c r="G61" s="10">
        <v>0</v>
      </c>
      <c r="H61" s="42">
        <f>1/(H$59+(0.08*G61))</f>
        <v>0.19230769230769229</v>
      </c>
      <c r="I61" s="10">
        <f>0.035/(1+(G61^3))</f>
        <v>3.5000000000000003E-2</v>
      </c>
      <c r="J61" s="42">
        <f>H61-I61</f>
        <v>0.15730769230769229</v>
      </c>
      <c r="K61" s="10">
        <f>((H$54*J61)-(H$55*G61)-H$57)*H$53</f>
        <v>6.6238461538461522</v>
      </c>
      <c r="L61" s="10">
        <f>EXP(-H$58*J61)</f>
        <v>3.6755715615589504E-2</v>
      </c>
      <c r="M61" s="10">
        <f>K61*L61</f>
        <v>0.24346420551218551</v>
      </c>
    </row>
    <row r="62" spans="1:13" x14ac:dyDescent="0.35">
      <c r="A62" s="21">
        <v>11</v>
      </c>
      <c r="B62" s="40">
        <f t="shared" si="0"/>
        <v>6.3831396818181814</v>
      </c>
      <c r="C62" s="21">
        <v>5.2</v>
      </c>
      <c r="D62" s="44">
        <f t="shared" si="1"/>
        <v>1.2711111111111111</v>
      </c>
      <c r="E62" s="45">
        <f t="shared" si="2"/>
        <v>12.138216993141885</v>
      </c>
      <c r="G62" s="10">
        <v>1</v>
      </c>
      <c r="H62" s="42">
        <f t="shared" ref="H62:H72" si="3">1/(H$59+(0.08*G62))</f>
        <v>0.18939393939393939</v>
      </c>
      <c r="I62" s="10">
        <f t="shared" ref="I62:I72" si="4">0.035/(1+(G62^3))</f>
        <v>1.7500000000000002E-2</v>
      </c>
      <c r="J62" s="42">
        <f t="shared" ref="J62:J72" si="5">H62-I62</f>
        <v>0.17189393939393938</v>
      </c>
      <c r="K62" s="10">
        <f t="shared" ref="K62:K65" si="6">((H$54*J62)-(H$55*G62)-H$57)*H$53</f>
        <v>7.2698484848484846</v>
      </c>
      <c r="L62" s="10">
        <f t="shared" ref="L62:L72" si="7">EXP(-H$58*J62)</f>
        <v>2.70579957120715E-2</v>
      </c>
      <c r="M62" s="10">
        <f t="shared" ref="M62:M72" si="8">K62*L62</f>
        <v>0.19670752913043979</v>
      </c>
    </row>
    <row r="63" spans="1:13" x14ac:dyDescent="0.35">
      <c r="A63" s="21">
        <v>12</v>
      </c>
      <c r="B63" s="40">
        <f t="shared" si="0"/>
        <v>5.8512113749999992</v>
      </c>
      <c r="C63" s="21">
        <v>5.2</v>
      </c>
      <c r="D63" s="44">
        <f t="shared" si="1"/>
        <v>1.3866666666666667</v>
      </c>
      <c r="E63" s="45">
        <f t="shared" si="2"/>
        <v>13.241691265245693</v>
      </c>
      <c r="G63" s="10">
        <v>2</v>
      </c>
      <c r="H63" s="42">
        <f t="shared" si="3"/>
        <v>0.18656716417910446</v>
      </c>
      <c r="I63" s="43">
        <f t="shared" si="4"/>
        <v>3.8888888888888892E-3</v>
      </c>
      <c r="J63" s="42">
        <f t="shared" si="5"/>
        <v>0.18267827529021557</v>
      </c>
      <c r="K63" s="10">
        <f t="shared" si="6"/>
        <v>7.6953399668325027</v>
      </c>
      <c r="L63" s="10">
        <f t="shared" si="7"/>
        <v>2.1574487835387589E-2</v>
      </c>
      <c r="M63" s="10">
        <f t="shared" si="8"/>
        <v>0.16602301850359977</v>
      </c>
    </row>
    <row r="64" spans="1:13" x14ac:dyDescent="0.35">
      <c r="A64" s="21">
        <v>13</v>
      </c>
      <c r="B64" s="40">
        <f t="shared" si="0"/>
        <v>5.4011181923076919</v>
      </c>
      <c r="C64" s="21">
        <v>5.2</v>
      </c>
      <c r="D64" s="44">
        <f t="shared" si="1"/>
        <v>1.5022222222222223</v>
      </c>
      <c r="E64" s="45">
        <f t="shared" si="2"/>
        <v>14.345165537349502</v>
      </c>
      <c r="G64" s="10">
        <v>4</v>
      </c>
      <c r="H64" s="42">
        <f t="shared" si="3"/>
        <v>0.18115942028985504</v>
      </c>
      <c r="I64" s="43">
        <f t="shared" si="4"/>
        <v>5.3846153846153855E-4</v>
      </c>
      <c r="J64" s="42">
        <f t="shared" si="5"/>
        <v>0.1806209587513935</v>
      </c>
      <c r="K64" s="10">
        <f t="shared" si="6"/>
        <v>7.1760156075808226</v>
      </c>
      <c r="L64" s="10">
        <f t="shared" si="7"/>
        <v>2.2527012511882615E-2</v>
      </c>
      <c r="M64" s="10">
        <f t="shared" si="8"/>
        <v>0.16165419337743811</v>
      </c>
    </row>
    <row r="65" spans="1:23" x14ac:dyDescent="0.35">
      <c r="A65" s="21">
        <v>13.5</v>
      </c>
      <c r="B65" s="40">
        <f t="shared" si="0"/>
        <v>5.2010767777777778</v>
      </c>
      <c r="C65" s="21">
        <v>5.2</v>
      </c>
      <c r="D65" s="44">
        <f>(C65*A65)/B$51</f>
        <v>1.56</v>
      </c>
      <c r="E65" s="45">
        <f t="shared" si="2"/>
        <v>14.896902673401405</v>
      </c>
      <c r="G65" s="10">
        <v>6</v>
      </c>
      <c r="H65" s="42">
        <f t="shared" si="3"/>
        <v>0.17605633802816903</v>
      </c>
      <c r="I65" s="43">
        <f t="shared" si="4"/>
        <v>1.6129032258064519E-4</v>
      </c>
      <c r="J65" s="42">
        <f t="shared" si="5"/>
        <v>0.17589504770558839</v>
      </c>
      <c r="K65" s="10">
        <f t="shared" si="6"/>
        <v>6.501912766924125</v>
      </c>
      <c r="L65" s="10">
        <f t="shared" si="7"/>
        <v>2.4877387968351716E-2</v>
      </c>
      <c r="M65" s="10">
        <f t="shared" si="8"/>
        <v>0.16175060643915065</v>
      </c>
    </row>
    <row r="66" spans="1:23" x14ac:dyDescent="0.35">
      <c r="A66" s="21">
        <v>14</v>
      </c>
      <c r="B66" s="40">
        <f t="shared" si="0"/>
        <v>5.0153240357142854</v>
      </c>
      <c r="G66" s="10">
        <v>8</v>
      </c>
      <c r="H66" s="42">
        <f t="shared" si="3"/>
        <v>0.17123287671232876</v>
      </c>
      <c r="I66" s="43">
        <f t="shared" si="4"/>
        <v>6.8226120857699818E-5</v>
      </c>
      <c r="J66" s="42">
        <f>H66-I66</f>
        <v>0.17116465059147107</v>
      </c>
      <c r="K66" s="10">
        <f>((H$54*J66)-(H$55*G66)-H$57)*H$53</f>
        <v>5.8275497343053217</v>
      </c>
      <c r="L66" s="10">
        <f t="shared" si="7"/>
        <v>2.7475580175686645E-2</v>
      </c>
      <c r="M66" s="10">
        <f t="shared" si="8"/>
        <v>0.16011530995270729</v>
      </c>
    </row>
    <row r="67" spans="1:23" x14ac:dyDescent="0.35">
      <c r="A67" s="21">
        <v>15</v>
      </c>
      <c r="B67" s="40">
        <f t="shared" si="0"/>
        <v>4.6809690999999995</v>
      </c>
      <c r="G67" s="10">
        <v>10</v>
      </c>
      <c r="H67" s="42">
        <f t="shared" si="3"/>
        <v>0.16666666666666666</v>
      </c>
      <c r="I67" s="43">
        <f t="shared" si="4"/>
        <v>3.4965034965034965E-5</v>
      </c>
      <c r="J67" s="42">
        <f t="shared" si="5"/>
        <v>0.16663170163170163</v>
      </c>
      <c r="K67" s="10">
        <f t="shared" ref="K67:K72" si="9">((H$54*J67)-(H$55*G67)-H$57)*H$53</f>
        <v>5.1646386946386951</v>
      </c>
      <c r="L67" s="10">
        <f t="shared" si="7"/>
        <v>3.021956446862455E-2</v>
      </c>
      <c r="M67" s="10">
        <f t="shared" si="8"/>
        <v>0.15607313198978698</v>
      </c>
    </row>
    <row r="68" spans="1:23" x14ac:dyDescent="0.35">
      <c r="A68" s="21">
        <v>16</v>
      </c>
      <c r="B68" s="40">
        <f t="shared" si="0"/>
        <v>4.3884085312499996</v>
      </c>
      <c r="G68" s="10">
        <v>12</v>
      </c>
      <c r="H68" s="42">
        <f t="shared" si="3"/>
        <v>0.16233766233766234</v>
      </c>
      <c r="I68" s="43">
        <f t="shared" si="4"/>
        <v>2.0242914979757088E-5</v>
      </c>
      <c r="J68" s="42">
        <f t="shared" si="5"/>
        <v>0.16231741942268257</v>
      </c>
      <c r="K68" s="10">
        <f t="shared" si="9"/>
        <v>4.5144103265155895</v>
      </c>
      <c r="L68" s="10">
        <f t="shared" si="7"/>
        <v>3.3085313106069866E-2</v>
      </c>
      <c r="M68" s="10">
        <f t="shared" si="8"/>
        <v>0.14936067914204337</v>
      </c>
      <c r="T68" s="95" t="s">
        <v>54</v>
      </c>
      <c r="U68" s="95"/>
      <c r="V68" s="95"/>
      <c r="W68" s="95"/>
    </row>
    <row r="69" spans="1:23" x14ac:dyDescent="0.35">
      <c r="A69" s="21">
        <v>17</v>
      </c>
      <c r="B69" s="40">
        <f t="shared" si="0"/>
        <v>4.1302668529411761</v>
      </c>
      <c r="G69" s="10">
        <v>14</v>
      </c>
      <c r="H69" s="42">
        <f t="shared" si="3"/>
        <v>0.15822784810126581</v>
      </c>
      <c r="I69" s="43">
        <f t="shared" si="4"/>
        <v>1.2750455373406194E-5</v>
      </c>
      <c r="J69" s="42">
        <f t="shared" si="5"/>
        <v>0.15821509764589239</v>
      </c>
      <c r="K69" s="10">
        <f t="shared" si="9"/>
        <v>3.8764756634617576</v>
      </c>
      <c r="L69" s="10">
        <f t="shared" si="7"/>
        <v>3.606194767639187E-2</v>
      </c>
      <c r="M69" s="10">
        <f t="shared" si="8"/>
        <v>0.13979326254456437</v>
      </c>
      <c r="T69" s="95"/>
      <c r="U69" s="95"/>
      <c r="V69" s="95"/>
      <c r="W69" s="95"/>
    </row>
    <row r="70" spans="1:23" x14ac:dyDescent="0.35">
      <c r="A70" s="21">
        <v>18</v>
      </c>
      <c r="B70" s="40">
        <f t="shared" si="0"/>
        <v>3.9008075833333331</v>
      </c>
      <c r="G70" s="10">
        <v>16</v>
      </c>
      <c r="H70" s="42">
        <f t="shared" si="3"/>
        <v>0.15432098765432098</v>
      </c>
      <c r="I70" s="43">
        <f t="shared" si="4"/>
        <v>8.5428362216255802E-6</v>
      </c>
      <c r="J70" s="42">
        <f t="shared" si="5"/>
        <v>0.15431244481809936</v>
      </c>
      <c r="K70" s="10">
        <f t="shared" si="9"/>
        <v>3.2501217994497624</v>
      </c>
      <c r="L70" s="10">
        <f t="shared" si="7"/>
        <v>3.9141916961089478E-2</v>
      </c>
      <c r="M70" s="10">
        <f t="shared" si="8"/>
        <v>0.1272159975874893</v>
      </c>
      <c r="T70" s="95"/>
      <c r="U70" s="95"/>
      <c r="V70" s="95"/>
      <c r="W70" s="95"/>
    </row>
    <row r="71" spans="1:23" x14ac:dyDescent="0.35">
      <c r="A71" s="21">
        <v>19</v>
      </c>
      <c r="B71" s="40">
        <f t="shared" si="0"/>
        <v>3.6955019210526312</v>
      </c>
      <c r="G71" s="10">
        <v>18</v>
      </c>
      <c r="H71" s="42">
        <f t="shared" si="3"/>
        <v>0.1506024096385542</v>
      </c>
      <c r="I71" s="43">
        <f t="shared" si="4"/>
        <v>6.0003428767358142E-6</v>
      </c>
      <c r="J71" s="42">
        <f t="shared" si="5"/>
        <v>0.15059640929567747</v>
      </c>
      <c r="K71" s="10">
        <f t="shared" si="9"/>
        <v>2.6345917391492932</v>
      </c>
      <c r="L71" s="10">
        <f t="shared" si="7"/>
        <v>4.2318768346074682E-2</v>
      </c>
      <c r="M71" s="10">
        <f t="shared" si="8"/>
        <v>0.11149267749554095</v>
      </c>
      <c r="T71" s="95"/>
      <c r="U71" s="95"/>
      <c r="V71" s="95"/>
      <c r="W71" s="95"/>
    </row>
    <row r="72" spans="1:23" x14ac:dyDescent="0.35">
      <c r="A72" s="21">
        <v>20</v>
      </c>
      <c r="B72" s="40">
        <f t="shared" si="0"/>
        <v>3.5107268249999999</v>
      </c>
      <c r="G72" s="10">
        <v>20</v>
      </c>
      <c r="H72" s="42">
        <f t="shared" si="3"/>
        <v>0.14705882352941174</v>
      </c>
      <c r="I72" s="43">
        <f t="shared" si="4"/>
        <v>4.3744531933508319E-6</v>
      </c>
      <c r="J72" s="42">
        <f t="shared" si="5"/>
        <v>0.1470544490762184</v>
      </c>
      <c r="K72" s="10">
        <f t="shared" si="9"/>
        <v>2.0291580464206671</v>
      </c>
      <c r="L72" s="10">
        <f t="shared" si="7"/>
        <v>4.5586510408539754E-2</v>
      </c>
      <c r="M72" s="10">
        <f t="shared" si="8"/>
        <v>9.2502234403727929E-2</v>
      </c>
      <c r="T72" s="95"/>
      <c r="U72" s="95"/>
      <c r="V72" s="95"/>
      <c r="W72" s="95"/>
    </row>
    <row r="73" spans="1:23" x14ac:dyDescent="0.35">
      <c r="A73" s="21">
        <v>21</v>
      </c>
      <c r="B73" s="40">
        <f t="shared" si="0"/>
        <v>3.3435493571428569</v>
      </c>
    </row>
    <row r="74" spans="1:23" x14ac:dyDescent="0.35">
      <c r="A74" s="21">
        <v>22</v>
      </c>
      <c r="B74" s="40">
        <f t="shared" si="0"/>
        <v>3.1915698409090907</v>
      </c>
    </row>
    <row r="75" spans="1:23" x14ac:dyDescent="0.35">
      <c r="A75" s="21">
        <v>23</v>
      </c>
      <c r="B75" s="40">
        <f t="shared" si="0"/>
        <v>3.0528059347826084</v>
      </c>
    </row>
    <row r="76" spans="1:23" x14ac:dyDescent="0.35">
      <c r="A76" s="21">
        <v>24</v>
      </c>
      <c r="B76" s="40">
        <f t="shared" si="0"/>
        <v>2.9256056874999996</v>
      </c>
    </row>
    <row r="77" spans="1:23" x14ac:dyDescent="0.35">
      <c r="A77" s="21">
        <v>25</v>
      </c>
      <c r="B77" s="40">
        <f t="shared" si="0"/>
        <v>2.8085814599999996</v>
      </c>
    </row>
    <row r="82" spans="1:2" x14ac:dyDescent="0.35">
      <c r="A82" s="36" t="s">
        <v>55</v>
      </c>
      <c r="B82" s="37" t="s">
        <v>56</v>
      </c>
    </row>
    <row r="83" spans="1:2" x14ac:dyDescent="0.35">
      <c r="A83">
        <v>1.8</v>
      </c>
      <c r="B83">
        <f>(1.56*A83)/13.5</f>
        <v>0.20800000000000002</v>
      </c>
    </row>
    <row r="84" spans="1:2" x14ac:dyDescent="0.35">
      <c r="A84">
        <v>3.6</v>
      </c>
      <c r="B84">
        <f t="shared" ref="B84:B107" si="10">(1.56*A84)/13.5</f>
        <v>0.41600000000000004</v>
      </c>
    </row>
    <row r="85" spans="1:2" x14ac:dyDescent="0.35">
      <c r="A85">
        <v>5.4</v>
      </c>
      <c r="B85">
        <f t="shared" si="10"/>
        <v>0.62400000000000011</v>
      </c>
    </row>
    <row r="86" spans="1:2" x14ac:dyDescent="0.35">
      <c r="A86">
        <v>7.2</v>
      </c>
      <c r="B86">
        <f t="shared" si="10"/>
        <v>0.83200000000000007</v>
      </c>
    </row>
    <row r="87" spans="1:2" x14ac:dyDescent="0.35">
      <c r="A87">
        <v>9</v>
      </c>
      <c r="B87">
        <f t="shared" si="10"/>
        <v>1.04</v>
      </c>
    </row>
    <row r="88" spans="1:2" x14ac:dyDescent="0.35">
      <c r="A88">
        <v>10.8</v>
      </c>
      <c r="B88">
        <f t="shared" si="10"/>
        <v>1.2480000000000002</v>
      </c>
    </row>
    <row r="89" spans="1:2" x14ac:dyDescent="0.35">
      <c r="A89">
        <v>12.6</v>
      </c>
      <c r="B89">
        <f t="shared" si="10"/>
        <v>1.456</v>
      </c>
    </row>
    <row r="90" spans="1:2" x14ac:dyDescent="0.35">
      <c r="A90">
        <v>14.4</v>
      </c>
      <c r="B90">
        <f t="shared" si="10"/>
        <v>1.6640000000000001</v>
      </c>
    </row>
    <row r="91" spans="1:2" x14ac:dyDescent="0.35">
      <c r="A91">
        <v>16.2</v>
      </c>
      <c r="B91">
        <f t="shared" si="10"/>
        <v>1.8719999999999999</v>
      </c>
    </row>
    <row r="92" spans="1:2" x14ac:dyDescent="0.35">
      <c r="A92">
        <v>18</v>
      </c>
      <c r="B92">
        <f t="shared" si="10"/>
        <v>2.08</v>
      </c>
    </row>
    <row r="93" spans="1:2" x14ac:dyDescent="0.35">
      <c r="A93">
        <v>19.8</v>
      </c>
      <c r="B93">
        <f t="shared" si="10"/>
        <v>2.2880000000000003</v>
      </c>
    </row>
    <row r="94" spans="1:2" x14ac:dyDescent="0.35">
      <c r="A94">
        <v>21.6</v>
      </c>
      <c r="B94">
        <f t="shared" si="10"/>
        <v>2.4960000000000004</v>
      </c>
    </row>
    <row r="95" spans="1:2" ht="14.5" customHeight="1" x14ac:dyDescent="0.35">
      <c r="A95">
        <v>23.4</v>
      </c>
      <c r="B95">
        <f t="shared" si="10"/>
        <v>2.7039999999999997</v>
      </c>
    </row>
    <row r="96" spans="1:2" x14ac:dyDescent="0.35">
      <c r="A96">
        <v>25.2</v>
      </c>
      <c r="B96">
        <f t="shared" si="10"/>
        <v>2.9119999999999999</v>
      </c>
    </row>
    <row r="97" spans="1:2" x14ac:dyDescent="0.35">
      <c r="A97">
        <v>27</v>
      </c>
      <c r="B97">
        <f t="shared" si="10"/>
        <v>3.1200000000000006</v>
      </c>
    </row>
    <row r="98" spans="1:2" x14ac:dyDescent="0.35">
      <c r="A98">
        <v>28.8</v>
      </c>
      <c r="B98">
        <f t="shared" si="10"/>
        <v>3.3280000000000003</v>
      </c>
    </row>
    <row r="99" spans="1:2" x14ac:dyDescent="0.35">
      <c r="A99">
        <v>30.6</v>
      </c>
      <c r="B99">
        <f t="shared" si="10"/>
        <v>3.5360000000000005</v>
      </c>
    </row>
    <row r="100" spans="1:2" x14ac:dyDescent="0.35">
      <c r="A100">
        <v>32.4</v>
      </c>
      <c r="B100">
        <f t="shared" si="10"/>
        <v>3.7439999999999998</v>
      </c>
    </row>
    <row r="101" spans="1:2" x14ac:dyDescent="0.35">
      <c r="A101">
        <v>34.200000000000003</v>
      </c>
      <c r="B101">
        <f t="shared" si="10"/>
        <v>3.9520000000000004</v>
      </c>
    </row>
    <row r="102" spans="1:2" x14ac:dyDescent="0.35">
      <c r="A102">
        <v>36</v>
      </c>
      <c r="B102">
        <f t="shared" si="10"/>
        <v>4.16</v>
      </c>
    </row>
    <row r="103" spans="1:2" x14ac:dyDescent="0.35">
      <c r="A103">
        <v>37.799999999999997</v>
      </c>
      <c r="B103">
        <f t="shared" si="10"/>
        <v>4.3679999999999994</v>
      </c>
    </row>
    <row r="104" spans="1:2" x14ac:dyDescent="0.35">
      <c r="A104">
        <v>39.6</v>
      </c>
      <c r="B104">
        <f t="shared" si="10"/>
        <v>4.5760000000000005</v>
      </c>
    </row>
    <row r="105" spans="1:2" x14ac:dyDescent="0.35">
      <c r="A105">
        <v>41.4</v>
      </c>
      <c r="B105">
        <f t="shared" si="10"/>
        <v>4.7839999999999998</v>
      </c>
    </row>
    <row r="106" spans="1:2" x14ac:dyDescent="0.35">
      <c r="A106">
        <v>43.2</v>
      </c>
      <c r="B106">
        <f t="shared" si="10"/>
        <v>4.9920000000000009</v>
      </c>
    </row>
    <row r="107" spans="1:2" x14ac:dyDescent="0.35">
      <c r="A107">
        <v>45</v>
      </c>
      <c r="B107">
        <f t="shared" si="10"/>
        <v>5.2</v>
      </c>
    </row>
  </sheetData>
  <mergeCells count="6">
    <mergeCell ref="A3:A4"/>
    <mergeCell ref="A1:O1"/>
    <mergeCell ref="A49:E49"/>
    <mergeCell ref="G49:K49"/>
    <mergeCell ref="T68:W72"/>
    <mergeCell ref="E52:E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B2D3-8C53-4017-B70A-AA01673054EB}">
  <dimension ref="A1:X58"/>
  <sheetViews>
    <sheetView topLeftCell="A12" zoomScale="85" zoomScaleNormal="85" workbookViewId="0">
      <selection activeCell="B34" sqref="B34:B36"/>
    </sheetView>
  </sheetViews>
  <sheetFormatPr defaultRowHeight="14.5" x14ac:dyDescent="0.35"/>
  <cols>
    <col min="1" max="1" width="10.81640625" bestFit="1" customWidth="1"/>
    <col min="2" max="13" width="10.81640625" customWidth="1"/>
    <col min="14" max="14" width="12.1796875" customWidth="1"/>
  </cols>
  <sheetData>
    <row r="1" spans="1:24" x14ac:dyDescent="0.35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24" x14ac:dyDescent="0.35">
      <c r="A2" s="110" t="s">
        <v>58</v>
      </c>
      <c r="B2" s="110"/>
      <c r="C2">
        <f>14.9</f>
        <v>14.9</v>
      </c>
      <c r="D2" s="19" t="s">
        <v>59</v>
      </c>
      <c r="E2" s="19"/>
      <c r="F2" s="19"/>
      <c r="G2" s="19"/>
      <c r="H2" s="19"/>
      <c r="I2" s="19"/>
      <c r="J2" s="19"/>
      <c r="K2" s="19"/>
      <c r="L2" s="19"/>
      <c r="M2" s="19"/>
    </row>
    <row r="3" spans="1:24" ht="15" customHeight="1" x14ac:dyDescent="0.35">
      <c r="A3" s="110"/>
      <c r="B3" s="110"/>
      <c r="C3" s="23">
        <f>(14.9*2*3.1415926)/60</f>
        <v>1.5603243246666667</v>
      </c>
      <c r="D3" s="19" t="s">
        <v>60</v>
      </c>
      <c r="E3" s="19"/>
      <c r="F3" s="19"/>
      <c r="G3" s="19"/>
      <c r="H3" s="19"/>
      <c r="I3" s="19"/>
      <c r="J3" s="19"/>
      <c r="K3" s="19"/>
      <c r="L3" s="19"/>
      <c r="M3" s="19"/>
    </row>
    <row r="5" spans="1:24" x14ac:dyDescent="0.35">
      <c r="A5" s="112" t="s">
        <v>27</v>
      </c>
      <c r="B5" s="111" t="s">
        <v>61</v>
      </c>
      <c r="C5" s="111"/>
      <c r="D5" s="111" t="s">
        <v>62</v>
      </c>
      <c r="E5" s="111"/>
      <c r="F5" s="111" t="s">
        <v>63</v>
      </c>
      <c r="G5" s="111"/>
      <c r="H5" s="111" t="s">
        <v>64</v>
      </c>
      <c r="I5" s="111"/>
      <c r="J5" s="111" t="s">
        <v>65</v>
      </c>
      <c r="K5" s="111"/>
      <c r="L5" s="111" t="s">
        <v>66</v>
      </c>
      <c r="M5" s="111"/>
      <c r="N5" s="111" t="s">
        <v>67</v>
      </c>
      <c r="O5" s="111"/>
      <c r="P5" s="111" t="s">
        <v>68</v>
      </c>
      <c r="Q5" s="111"/>
      <c r="R5" s="111" t="s">
        <v>69</v>
      </c>
      <c r="S5" s="111"/>
      <c r="T5" s="111" t="s">
        <v>70</v>
      </c>
      <c r="U5" s="111"/>
    </row>
    <row r="6" spans="1:24" ht="43.5" x14ac:dyDescent="0.35">
      <c r="A6" s="112"/>
      <c r="B6" s="20" t="s">
        <v>71</v>
      </c>
      <c r="C6" s="20" t="s">
        <v>72</v>
      </c>
      <c r="D6" s="20" t="s">
        <v>71</v>
      </c>
      <c r="E6" s="20" t="s">
        <v>72</v>
      </c>
      <c r="F6" s="20" t="s">
        <v>71</v>
      </c>
      <c r="G6" s="20" t="s">
        <v>72</v>
      </c>
      <c r="H6" s="20" t="s">
        <v>71</v>
      </c>
      <c r="I6" s="20" t="s">
        <v>72</v>
      </c>
      <c r="J6" s="20" t="s">
        <v>71</v>
      </c>
      <c r="K6" s="20" t="s">
        <v>72</v>
      </c>
      <c r="L6" s="20" t="s">
        <v>71</v>
      </c>
      <c r="M6" s="20" t="s">
        <v>72</v>
      </c>
      <c r="N6" s="20" t="s">
        <v>71</v>
      </c>
      <c r="O6" s="20" t="s">
        <v>72</v>
      </c>
      <c r="P6" s="20" t="s">
        <v>71</v>
      </c>
      <c r="Q6" s="20" t="s">
        <v>72</v>
      </c>
      <c r="R6" s="20" t="s">
        <v>71</v>
      </c>
      <c r="S6" s="20" t="s">
        <v>72</v>
      </c>
      <c r="T6" s="20" t="s">
        <v>71</v>
      </c>
      <c r="U6" s="20" t="s">
        <v>72</v>
      </c>
    </row>
    <row r="7" spans="1:24" x14ac:dyDescent="0.35">
      <c r="A7" s="21">
        <v>4</v>
      </c>
      <c r="B7" s="22">
        <f>ATAN(A7/(C$3*X$7))</f>
        <v>0.51782857764722456</v>
      </c>
      <c r="C7" s="22">
        <f>(B7*180)/3.14159</f>
        <v>29.669417071132909</v>
      </c>
      <c r="D7" s="22">
        <f>ATAN(A7/(C$3*X$8))</f>
        <v>0.27749215687777984</v>
      </c>
      <c r="E7" s="22">
        <f>(D7*180)/3.14159</f>
        <v>15.899142866510388</v>
      </c>
      <c r="F7" s="22">
        <f>ATAN(A7/(C$3*X$9))</f>
        <v>0.18765968047315681</v>
      </c>
      <c r="G7" s="22">
        <f>(F7*180)/3.14159</f>
        <v>10.75211675780997</v>
      </c>
      <c r="H7" s="22">
        <f>ATAN(A7/(C$3*X$10))</f>
        <v>0.14146915097174265</v>
      </c>
      <c r="I7" s="22">
        <f>(H7*180)/3.14159</f>
        <v>8.1055921284806978</v>
      </c>
      <c r="J7" s="22">
        <f>ATAN(A7/(C$3*X$11))</f>
        <v>0.11344720912071084</v>
      </c>
      <c r="K7" s="22">
        <f>(J7*180)/3.14159</f>
        <v>6.5000517705136422</v>
      </c>
      <c r="L7" s="22">
        <f>ATAN(A7/(C$3*X$12))</f>
        <v>9.4663241682592755E-2</v>
      </c>
      <c r="M7" s="22">
        <f>(L7*180)/3.14159</f>
        <v>5.423808804734767</v>
      </c>
      <c r="N7" s="22">
        <f>ATAN(A7/(C$3*X$13))</f>
        <v>8.1204199617706349E-2</v>
      </c>
      <c r="O7" s="22">
        <f>(N7*180)/3.14159</f>
        <v>4.6526618467677654</v>
      </c>
      <c r="P7" s="22">
        <f>ATAN(A7/(C$3*X$14))</f>
        <v>7.1090264717137447E-2</v>
      </c>
      <c r="Q7" s="22">
        <f>(P7*180)/3.14159</f>
        <v>4.0731755732239856</v>
      </c>
      <c r="R7" s="22">
        <f>ATAN(A7/(C$3*X$15))</f>
        <v>6.3213679960192226E-2</v>
      </c>
      <c r="S7" s="22">
        <f>(R7*180)/3.14159</f>
        <v>3.6218801284809925</v>
      </c>
      <c r="T7" s="22">
        <f>ATAN(A7/(C$3*X$16))</f>
        <v>5.6906705207458982E-2</v>
      </c>
      <c r="U7" s="22">
        <f>(T7*180)/3.14159</f>
        <v>3.260516788423256</v>
      </c>
      <c r="W7">
        <v>0.1</v>
      </c>
      <c r="X7">
        <f>W7*45</f>
        <v>4.5</v>
      </c>
    </row>
    <row r="8" spans="1:24" x14ac:dyDescent="0.35">
      <c r="A8" s="21">
        <v>5</v>
      </c>
      <c r="B8" s="22">
        <f t="shared" ref="B8:B29" si="0">ATAN(A8/(C$3*X$7))</f>
        <v>0.61880246080109824</v>
      </c>
      <c r="C8" s="22">
        <f t="shared" ref="C8:C29" si="1">(B8*180)/3.14159</f>
        <v>35.454799303600311</v>
      </c>
      <c r="D8" s="22">
        <f t="shared" ref="D8:D29" si="2">ATAN(A8/(C$3*X$8))</f>
        <v>0.34205555727378179</v>
      </c>
      <c r="E8" s="22">
        <f t="shared" ref="E8:E29" si="3">(D8*180)/3.14159</f>
        <v>19.598356344806522</v>
      </c>
      <c r="F8" s="22">
        <f t="shared" ref="F8:F29" si="4">ATAN(A8/(C$3*X$9))</f>
        <v>0.23305442399771459</v>
      </c>
      <c r="G8" s="22">
        <f t="shared" ref="G8:G29" si="5">(F8*180)/3.14159</f>
        <v>13.353046170757047</v>
      </c>
      <c r="H8" s="22">
        <f t="shared" ref="H8:H29" si="6">ATAN(A8/(C$3*X$10))</f>
        <v>0.17617990937295475</v>
      </c>
      <c r="I8" s="22">
        <f t="shared" ref="I8:I29" si="7">(H8*180)/3.14159</f>
        <v>10.094373768420404</v>
      </c>
      <c r="J8" s="22">
        <f t="shared" ref="J8:J29" si="8">ATAN(A8/(C$3*X$11))</f>
        <v>0.14146915097174262</v>
      </c>
      <c r="K8" s="22">
        <f t="shared" ref="K8:K29" si="9">(J8*180)/3.14159</f>
        <v>8.1055921284806978</v>
      </c>
      <c r="L8" s="22">
        <f t="shared" ref="L8:L29" si="10">ATAN(A8/(C$3*X$12))</f>
        <v>0.11813118686119582</v>
      </c>
      <c r="M8" s="22">
        <f t="shared" ref="M8:M29" si="11">(L8*180)/3.14159</f>
        <v>6.7684241530611082</v>
      </c>
      <c r="N8" s="22">
        <f t="shared" ref="N8:N29" si="12">ATAN(A8/(C$3*X$13))</f>
        <v>0.10138019175080709</v>
      </c>
      <c r="O8" s="22">
        <f t="shared" ref="O8:O29" si="13">(N8*180)/3.14159</f>
        <v>5.8086620199151628</v>
      </c>
      <c r="P8" s="22">
        <f t="shared" ref="P8:P9" si="14">ATAN(A8/(C$3*X$14))</f>
        <v>8.8778853222862136E-2</v>
      </c>
      <c r="Q8" s="22">
        <f t="shared" ref="Q8:Q29" si="15">(P8*180)/3.14159</f>
        <v>5.0866578961975257</v>
      </c>
      <c r="R8" s="22">
        <f t="shared" ref="R8:R29" si="16">ATAN(A8/(C$3*X$15))</f>
        <v>7.8958023703497457E-2</v>
      </c>
      <c r="S8" s="22">
        <f t="shared" ref="S8:S29" si="17">(R8*180)/3.14159</f>
        <v>4.5239653381343663</v>
      </c>
      <c r="T8" s="22">
        <f t="shared" ref="T8:T29" si="18">ATAN(A8/(C$3*X$16))</f>
        <v>7.1090264717137433E-2</v>
      </c>
      <c r="U8" s="22">
        <f t="shared" ref="U8:U29" si="19">(T8*180)/3.14159</f>
        <v>4.0731755732239847</v>
      </c>
      <c r="W8">
        <v>0.2</v>
      </c>
      <c r="X8">
        <f t="shared" ref="X8:X16" si="20">W8*45</f>
        <v>9</v>
      </c>
    </row>
    <row r="9" spans="1:24" x14ac:dyDescent="0.35">
      <c r="A9" s="21">
        <v>6</v>
      </c>
      <c r="B9" s="22">
        <f t="shared" si="0"/>
        <v>0.70711416007943595</v>
      </c>
      <c r="C9" s="22">
        <f t="shared" si="1"/>
        <v>40.514691227785441</v>
      </c>
      <c r="D9" s="22">
        <f t="shared" si="2"/>
        <v>0.40378468194610295</v>
      </c>
      <c r="E9" s="22">
        <f t="shared" si="3"/>
        <v>23.13517764899256</v>
      </c>
      <c r="F9" s="22">
        <f t="shared" si="4"/>
        <v>0.27749215687777978</v>
      </c>
      <c r="G9" s="22">
        <f t="shared" si="5"/>
        <v>15.899142866510386</v>
      </c>
      <c r="H9" s="22">
        <f t="shared" si="6"/>
        <v>0.21046708707720874</v>
      </c>
      <c r="I9" s="22">
        <f t="shared" si="7"/>
        <v>12.058886001641707</v>
      </c>
      <c r="J9" s="22">
        <f t="shared" si="8"/>
        <v>0.16926925556722314</v>
      </c>
      <c r="K9" s="22">
        <f t="shared" si="9"/>
        <v>9.698422137229926</v>
      </c>
      <c r="L9" s="22">
        <f t="shared" si="10"/>
        <v>0.14146915097174262</v>
      </c>
      <c r="M9" s="22">
        <f t="shared" si="11"/>
        <v>8.1055921284806978</v>
      </c>
      <c r="N9" s="22">
        <f t="shared" si="12"/>
        <v>0.12147371183143561</v>
      </c>
      <c r="O9" s="22">
        <f t="shared" si="13"/>
        <v>6.9599368885368271</v>
      </c>
      <c r="P9" s="22">
        <f t="shared" si="14"/>
        <v>0.10641192057101166</v>
      </c>
      <c r="Q9" s="22">
        <f t="shared" si="15"/>
        <v>6.0969590884813423</v>
      </c>
      <c r="R9" s="22">
        <f t="shared" si="16"/>
        <v>9.4663241682592769E-2</v>
      </c>
      <c r="S9" s="22">
        <f t="shared" si="17"/>
        <v>5.4238088047347679</v>
      </c>
      <c r="T9" s="22">
        <f t="shared" si="18"/>
        <v>8.5245232678860611E-2</v>
      </c>
      <c r="U9" s="22">
        <f t="shared" si="19"/>
        <v>4.8841961816134223</v>
      </c>
      <c r="W9">
        <v>0.3</v>
      </c>
      <c r="X9">
        <f t="shared" si="20"/>
        <v>13.5</v>
      </c>
    </row>
    <row r="10" spans="1:24" x14ac:dyDescent="0.35">
      <c r="A10" s="21">
        <v>7</v>
      </c>
      <c r="B10" s="22">
        <f t="shared" si="0"/>
        <v>0.78386769188665117</v>
      </c>
      <c r="C10" s="22">
        <f t="shared" si="1"/>
        <v>44.912348377604083</v>
      </c>
      <c r="D10" s="22">
        <f t="shared" si="2"/>
        <v>0.46242435474125076</v>
      </c>
      <c r="E10" s="22">
        <f t="shared" si="3"/>
        <v>26.494986250091561</v>
      </c>
      <c r="F10" s="22">
        <f t="shared" si="4"/>
        <v>0.32083339398185223</v>
      </c>
      <c r="G10" s="22">
        <f t="shared" si="5"/>
        <v>18.382414928979721</v>
      </c>
      <c r="H10" s="22">
        <f t="shared" si="6"/>
        <v>0.24425941209018406</v>
      </c>
      <c r="I10" s="22">
        <f t="shared" si="7"/>
        <v>13.995045240223305</v>
      </c>
      <c r="J10" s="22">
        <f t="shared" si="8"/>
        <v>0.19680774699840803</v>
      </c>
      <c r="K10" s="22">
        <f t="shared" si="9"/>
        <v>11.276262803138998</v>
      </c>
      <c r="L10" s="22">
        <f t="shared" si="10"/>
        <v>0.16465302550638178</v>
      </c>
      <c r="M10" s="22">
        <f t="shared" si="11"/>
        <v>9.4339314140765413</v>
      </c>
      <c r="N10" s="22">
        <f t="shared" si="12"/>
        <v>0.14146915097174265</v>
      </c>
      <c r="O10" s="22">
        <f t="shared" si="13"/>
        <v>8.1055921284806978</v>
      </c>
      <c r="P10" s="22">
        <f>ATAN(A10/(C$3*X$14))</f>
        <v>0.12397882083060754</v>
      </c>
      <c r="Q10" s="22">
        <f t="shared" si="15"/>
        <v>7.1034691826461627</v>
      </c>
      <c r="R10" s="22">
        <f t="shared" si="16"/>
        <v>0.11032176464821482</v>
      </c>
      <c r="S10" s="22">
        <f t="shared" si="17"/>
        <v>6.3209768418790064</v>
      </c>
      <c r="T10" s="22">
        <f t="shared" si="18"/>
        <v>9.936604256350208E-2</v>
      </c>
      <c r="U10" s="22">
        <f t="shared" si="19"/>
        <v>5.6932596746966899</v>
      </c>
      <c r="W10">
        <v>0.4</v>
      </c>
      <c r="X10">
        <f t="shared" si="20"/>
        <v>18</v>
      </c>
    </row>
    <row r="11" spans="1:24" x14ac:dyDescent="0.35">
      <c r="A11" s="21">
        <v>8</v>
      </c>
      <c r="B11" s="22">
        <f t="shared" si="0"/>
        <v>0.85044909139598612</v>
      </c>
      <c r="C11" s="22">
        <f t="shared" si="1"/>
        <v>48.727184785817848</v>
      </c>
      <c r="D11" s="22">
        <f t="shared" si="2"/>
        <v>0.51782857764722456</v>
      </c>
      <c r="E11" s="22">
        <f t="shared" si="3"/>
        <v>29.669417071132909</v>
      </c>
      <c r="F11" s="22">
        <f t="shared" si="4"/>
        <v>0.36296182427500701</v>
      </c>
      <c r="G11" s="22">
        <f t="shared" si="5"/>
        <v>20.796198221124104</v>
      </c>
      <c r="H11" s="22">
        <f t="shared" si="6"/>
        <v>0.27749215687777984</v>
      </c>
      <c r="I11" s="22">
        <f t="shared" si="7"/>
        <v>15.899142866510388</v>
      </c>
      <c r="J11" s="22">
        <f t="shared" si="8"/>
        <v>0.2240471771367232</v>
      </c>
      <c r="K11" s="22">
        <f t="shared" si="9"/>
        <v>12.836968504677623</v>
      </c>
      <c r="L11" s="22">
        <f t="shared" si="10"/>
        <v>0.18765968047315681</v>
      </c>
      <c r="M11" s="22">
        <f t="shared" si="11"/>
        <v>10.75211675780997</v>
      </c>
      <c r="N11" s="22">
        <f t="shared" si="12"/>
        <v>0.16135136552303728</v>
      </c>
      <c r="O11" s="22">
        <f t="shared" si="13"/>
        <v>9.2447600718574705</v>
      </c>
      <c r="P11" s="22">
        <f>ATAN(A11/(C$3*X$14))</f>
        <v>0.14146915097174265</v>
      </c>
      <c r="Q11" s="22">
        <f t="shared" si="15"/>
        <v>8.1055921284806978</v>
      </c>
      <c r="R11" s="22">
        <f t="shared" si="16"/>
        <v>0.12592615979908078</v>
      </c>
      <c r="S11" s="22">
        <f t="shared" si="17"/>
        <v>7.2150435810639015</v>
      </c>
      <c r="T11" s="22">
        <f t="shared" si="18"/>
        <v>0.11344720912071084</v>
      </c>
      <c r="U11" s="22">
        <f t="shared" si="19"/>
        <v>6.5000517705136422</v>
      </c>
      <c r="W11">
        <v>0.5</v>
      </c>
      <c r="X11">
        <f t="shared" si="20"/>
        <v>22.5</v>
      </c>
    </row>
    <row r="12" spans="1:24" x14ac:dyDescent="0.35">
      <c r="A12" s="21">
        <v>9</v>
      </c>
      <c r="B12" s="22">
        <f t="shared" si="0"/>
        <v>0.90826921874815758</v>
      </c>
      <c r="C12" s="22">
        <f t="shared" si="1"/>
        <v>52.040036852252641</v>
      </c>
      <c r="D12" s="22">
        <f t="shared" si="2"/>
        <v>0.56994602145746243</v>
      </c>
      <c r="E12" s="22">
        <f t="shared" si="3"/>
        <v>32.655529162730737</v>
      </c>
      <c r="F12" s="22">
        <f t="shared" si="4"/>
        <v>0.4037846819461029</v>
      </c>
      <c r="G12" s="22">
        <f t="shared" si="5"/>
        <v>23.135177648992556</v>
      </c>
      <c r="H12" s="22">
        <f t="shared" si="6"/>
        <v>0.31010764501589294</v>
      </c>
      <c r="I12" s="22">
        <f t="shared" si="7"/>
        <v>17.767874262033153</v>
      </c>
      <c r="J12" s="22">
        <f t="shared" si="8"/>
        <v>0.25095267717185837</v>
      </c>
      <c r="K12" s="22">
        <f t="shared" si="9"/>
        <v>14.378541404490882</v>
      </c>
      <c r="L12" s="22">
        <f t="shared" si="10"/>
        <v>0.21046708707720871</v>
      </c>
      <c r="M12" s="22">
        <f t="shared" si="11"/>
        <v>12.058886001641707</v>
      </c>
      <c r="N12" s="22">
        <f t="shared" si="12"/>
        <v>0.18110574037582031</v>
      </c>
      <c r="O12" s="22">
        <f t="shared" si="13"/>
        <v>10.37660333386841</v>
      </c>
      <c r="P12" s="22">
        <f t="shared" ref="P12:P13" si="21">ATAN(A12/(C$3*X$14))</f>
        <v>0.15887278562366805</v>
      </c>
      <c r="Q12" s="22">
        <f t="shared" si="15"/>
        <v>9.1027477844850058</v>
      </c>
      <c r="R12" s="22">
        <f t="shared" si="16"/>
        <v>0.14146915097174265</v>
      </c>
      <c r="S12" s="22">
        <f t="shared" si="17"/>
        <v>8.1055921284806978</v>
      </c>
      <c r="T12" s="22">
        <f t="shared" si="18"/>
        <v>0.12748334069071762</v>
      </c>
      <c r="U12" s="22">
        <f t="shared" si="19"/>
        <v>7.304263549453994</v>
      </c>
      <c r="W12">
        <v>0.6</v>
      </c>
      <c r="X12">
        <f t="shared" si="20"/>
        <v>27</v>
      </c>
    </row>
    <row r="13" spans="1:24" x14ac:dyDescent="0.35">
      <c r="A13" s="21">
        <v>10</v>
      </c>
      <c r="B13" s="22">
        <f t="shared" si="0"/>
        <v>0.95863158164256357</v>
      </c>
      <c r="C13" s="22">
        <f t="shared" si="1"/>
        <v>54.925590129730949</v>
      </c>
      <c r="D13" s="22">
        <f t="shared" si="2"/>
        <v>0.61880246080109824</v>
      </c>
      <c r="E13" s="22">
        <f t="shared" si="3"/>
        <v>35.454799303600311</v>
      </c>
      <c r="F13" s="22">
        <f t="shared" si="4"/>
        <v>0.44323218820360377</v>
      </c>
      <c r="G13" s="22">
        <f t="shared" si="5"/>
        <v>25.395355178953547</v>
      </c>
      <c r="H13" s="22">
        <f t="shared" si="6"/>
        <v>0.34205555727378179</v>
      </c>
      <c r="I13" s="22">
        <f t="shared" si="7"/>
        <v>19.598356344806522</v>
      </c>
      <c r="J13" s="22">
        <f t="shared" si="8"/>
        <v>0.27749215687777978</v>
      </c>
      <c r="K13" s="22">
        <f t="shared" si="9"/>
        <v>15.899142866510386</v>
      </c>
      <c r="L13" s="22">
        <f t="shared" si="10"/>
        <v>0.23305442399771459</v>
      </c>
      <c r="M13" s="22">
        <f t="shared" si="11"/>
        <v>13.353046170757047</v>
      </c>
      <c r="N13" s="22">
        <f t="shared" si="12"/>
        <v>0.20071824627588822</v>
      </c>
      <c r="O13" s="22">
        <f t="shared" si="13"/>
        <v>11.500318096778983</v>
      </c>
      <c r="P13" s="22">
        <f t="shared" si="21"/>
        <v>0.17617990937295475</v>
      </c>
      <c r="Q13" s="22">
        <f t="shared" si="15"/>
        <v>10.094373768420404</v>
      </c>
      <c r="R13" s="22">
        <f t="shared" si="16"/>
        <v>0.15694363771748723</v>
      </c>
      <c r="S13" s="22">
        <f t="shared" si="17"/>
        <v>8.992215658041852</v>
      </c>
      <c r="T13" s="22">
        <f t="shared" si="18"/>
        <v>0.14146915097174262</v>
      </c>
      <c r="U13" s="22">
        <f t="shared" si="19"/>
        <v>8.1055921284806978</v>
      </c>
      <c r="W13">
        <v>0.7</v>
      </c>
      <c r="X13">
        <f t="shared" si="20"/>
        <v>31.499999999999996</v>
      </c>
    </row>
    <row r="14" spans="1:24" x14ac:dyDescent="0.35">
      <c r="A14" s="21">
        <v>11</v>
      </c>
      <c r="B14" s="22">
        <f t="shared" si="0"/>
        <v>1.0026797826796767</v>
      </c>
      <c r="C14" s="22">
        <f t="shared" si="1"/>
        <v>57.449368276045512</v>
      </c>
      <c r="D14" s="22">
        <f t="shared" si="2"/>
        <v>0.66448275592884976</v>
      </c>
      <c r="E14" s="22">
        <f t="shared" si="3"/>
        <v>38.072089632063054</v>
      </c>
      <c r="F14" s="22">
        <f t="shared" si="4"/>
        <v>0.48125624453216231</v>
      </c>
      <c r="G14" s="22">
        <f t="shared" si="5"/>
        <v>27.573974966749073</v>
      </c>
      <c r="H14" s="22">
        <f t="shared" si="6"/>
        <v>0.37329304697163507</v>
      </c>
      <c r="I14" s="22">
        <f t="shared" si="7"/>
        <v>21.388134178837568</v>
      </c>
      <c r="J14" s="22">
        <f t="shared" si="8"/>
        <v>0.30363645065736156</v>
      </c>
      <c r="K14" s="22">
        <f t="shared" si="9"/>
        <v>17.397101823702354</v>
      </c>
      <c r="L14" s="22">
        <f t="shared" si="10"/>
        <v>0.25540216635265056</v>
      </c>
      <c r="M14" s="22">
        <f t="shared" si="11"/>
        <v>14.63347857087561</v>
      </c>
      <c r="N14" s="22">
        <f t="shared" si="12"/>
        <v>0.22017549068913472</v>
      </c>
      <c r="O14" s="22">
        <f t="shared" si="13"/>
        <v>12.61513702425977</v>
      </c>
      <c r="P14" s="22">
        <f>ATAN(A14/(C$3*X$14))</f>
        <v>0.19338104637286596</v>
      </c>
      <c r="Q14" s="22">
        <f t="shared" si="15"/>
        <v>11.07992715380297</v>
      </c>
      <c r="R14" s="22">
        <f t="shared" si="16"/>
        <v>0.17234271315125363</v>
      </c>
      <c r="S14" s="22">
        <f t="shared" si="17"/>
        <v>9.8745184340495271</v>
      </c>
      <c r="T14" s="22">
        <f t="shared" si="18"/>
        <v>0.15539947018269734</v>
      </c>
      <c r="U14" s="22">
        <f t="shared" si="19"/>
        <v>8.9037413007061783</v>
      </c>
      <c r="W14">
        <v>0.8</v>
      </c>
      <c r="X14">
        <f t="shared" si="20"/>
        <v>36</v>
      </c>
    </row>
    <row r="15" spans="1:24" x14ac:dyDescent="0.35">
      <c r="A15" s="21">
        <v>12</v>
      </c>
      <c r="B15" s="22">
        <f t="shared" si="0"/>
        <v>1.041388649835566</v>
      </c>
      <c r="C15" s="22">
        <f t="shared" si="1"/>
        <v>59.667224867153855</v>
      </c>
      <c r="D15" s="22">
        <f t="shared" si="2"/>
        <v>0.70711416007943595</v>
      </c>
      <c r="E15" s="22">
        <f t="shared" si="3"/>
        <v>40.514691227785441</v>
      </c>
      <c r="F15" s="22">
        <f t="shared" si="4"/>
        <v>0.51782857764722445</v>
      </c>
      <c r="G15" s="22">
        <f t="shared" si="5"/>
        <v>29.669417071132898</v>
      </c>
      <c r="H15" s="22">
        <f t="shared" si="6"/>
        <v>0.40378468194610295</v>
      </c>
      <c r="I15" s="22">
        <f t="shared" si="7"/>
        <v>23.13517764899256</v>
      </c>
      <c r="J15" s="22">
        <f t="shared" si="8"/>
        <v>0.32935941113068729</v>
      </c>
      <c r="K15" s="22">
        <f t="shared" si="9"/>
        <v>18.870920140286835</v>
      </c>
      <c r="L15" s="22">
        <f t="shared" si="10"/>
        <v>0.27749215687777978</v>
      </c>
      <c r="M15" s="22">
        <f t="shared" si="11"/>
        <v>15.899142866510386</v>
      </c>
      <c r="N15" s="22">
        <f t="shared" si="12"/>
        <v>0.23946476187449897</v>
      </c>
      <c r="O15" s="22">
        <f t="shared" si="13"/>
        <v>13.72033178658253</v>
      </c>
      <c r="P15" s="22">
        <f t="shared" ref="P15:P29" si="22">ATAN(A15/(C$3*X$14))</f>
        <v>0.21046708707720874</v>
      </c>
      <c r="Q15" s="22">
        <f t="shared" si="15"/>
        <v>12.058886001641707</v>
      </c>
      <c r="R15" s="22">
        <f t="shared" si="16"/>
        <v>0.18765968047315681</v>
      </c>
      <c r="S15" s="22">
        <f t="shared" si="17"/>
        <v>10.75211675780997</v>
      </c>
      <c r="T15" s="22">
        <f t="shared" si="18"/>
        <v>0.16926925556722314</v>
      </c>
      <c r="U15" s="22">
        <f t="shared" si="19"/>
        <v>9.698422137229926</v>
      </c>
      <c r="W15">
        <v>0.9</v>
      </c>
      <c r="X15">
        <f t="shared" si="20"/>
        <v>40.5</v>
      </c>
    </row>
    <row r="16" spans="1:24" x14ac:dyDescent="0.35">
      <c r="A16" s="21">
        <v>13</v>
      </c>
      <c r="B16" s="22">
        <f t="shared" si="0"/>
        <v>1.0755761471285215</v>
      </c>
      <c r="C16" s="22">
        <f t="shared" si="1"/>
        <v>61.626025828683524</v>
      </c>
      <c r="D16" s="22">
        <f t="shared" si="2"/>
        <v>0.74685194185364101</v>
      </c>
      <c r="E16" s="22">
        <f t="shared" si="3"/>
        <v>42.791500333797664</v>
      </c>
      <c r="F16" s="22">
        <f t="shared" si="4"/>
        <v>0.55293853277286731</v>
      </c>
      <c r="G16" s="22">
        <f t="shared" si="5"/>
        <v>31.681071017897345</v>
      </c>
      <c r="H16" s="22">
        <f t="shared" si="6"/>
        <v>0.43350223584864067</v>
      </c>
      <c r="I16" s="22">
        <f t="shared" si="7"/>
        <v>24.837869503262784</v>
      </c>
      <c r="J16" s="22">
        <f t="shared" si="8"/>
        <v>0.3546379525479631</v>
      </c>
      <c r="K16" s="22">
        <f t="shared" si="9"/>
        <v>20.319275099116485</v>
      </c>
      <c r="L16" s="22">
        <f t="shared" si="10"/>
        <v>0.29930765926374608</v>
      </c>
      <c r="M16" s="22">
        <f t="shared" si="11"/>
        <v>17.149080136960677</v>
      </c>
      <c r="N16" s="22">
        <f t="shared" si="12"/>
        <v>0.25857406595203958</v>
      </c>
      <c r="O16" s="22">
        <f t="shared" si="13"/>
        <v>14.815215184466187</v>
      </c>
      <c r="P16" s="22">
        <f t="shared" si="22"/>
        <v>0.2274293119554904</v>
      </c>
      <c r="Q16" s="22">
        <f t="shared" si="15"/>
        <v>13.030750719218062</v>
      </c>
      <c r="R16" s="22">
        <f t="shared" si="16"/>
        <v>0.20288806807965704</v>
      </c>
      <c r="S16" s="22">
        <f t="shared" si="17"/>
        <v>11.624639833440478</v>
      </c>
      <c r="T16" s="22">
        <f t="shared" si="18"/>
        <v>0.18307360119188254</v>
      </c>
      <c r="U16" s="22">
        <f t="shared" si="19"/>
        <v>10.489353548533979</v>
      </c>
      <c r="W16">
        <v>1</v>
      </c>
      <c r="X16">
        <f t="shared" si="20"/>
        <v>45</v>
      </c>
    </row>
    <row r="17" spans="1:21" s="28" customFormat="1" x14ac:dyDescent="0.35">
      <c r="A17" s="49">
        <v>13.5</v>
      </c>
      <c r="B17" s="29">
        <f t="shared" si="0"/>
        <v>1.0911919407860122</v>
      </c>
      <c r="C17" s="29">
        <f t="shared" si="1"/>
        <v>62.520745654742413</v>
      </c>
      <c r="D17" s="29">
        <f t="shared" si="2"/>
        <v>0.76568897344657461</v>
      </c>
      <c r="E17" s="29">
        <f t="shared" si="3"/>
        <v>43.870783654258965</v>
      </c>
      <c r="F17" s="29">
        <f t="shared" si="4"/>
        <v>0.56994602145746232</v>
      </c>
      <c r="G17" s="29">
        <f t="shared" si="5"/>
        <v>32.655529162730723</v>
      </c>
      <c r="H17" s="29">
        <f t="shared" si="6"/>
        <v>0.44806380207413044</v>
      </c>
      <c r="I17" s="29">
        <f t="shared" si="7"/>
        <v>25.672186495801007</v>
      </c>
      <c r="J17" s="29">
        <f t="shared" si="8"/>
        <v>0.3671041890719523</v>
      </c>
      <c r="K17" s="29">
        <f t="shared" si="9"/>
        <v>21.033538441665339</v>
      </c>
      <c r="L17" s="29">
        <f t="shared" si="10"/>
        <v>0.31010764501589289</v>
      </c>
      <c r="M17" s="29">
        <f t="shared" si="11"/>
        <v>17.76787426203315</v>
      </c>
      <c r="N17" s="29">
        <f t="shared" si="12"/>
        <v>0.26805768604998614</v>
      </c>
      <c r="O17" s="29">
        <f t="shared" si="13"/>
        <v>15.358587049550549</v>
      </c>
      <c r="P17" s="29">
        <f t="shared" si="22"/>
        <v>0.23586138038532392</v>
      </c>
      <c r="Q17" s="29">
        <f t="shared" si="15"/>
        <v>13.51387306088901</v>
      </c>
      <c r="R17" s="29">
        <f t="shared" si="16"/>
        <v>0.21046708707720874</v>
      </c>
      <c r="S17" s="29">
        <f t="shared" si="17"/>
        <v>12.058886001641707</v>
      </c>
      <c r="T17" s="29">
        <f t="shared" si="18"/>
        <v>0.18994974064613093</v>
      </c>
      <c r="U17" s="29">
        <f t="shared" si="19"/>
        <v>10.883327651381489</v>
      </c>
    </row>
    <row r="18" spans="1:21" x14ac:dyDescent="0.35">
      <c r="A18" s="21">
        <v>14</v>
      </c>
      <c r="B18" s="22">
        <f t="shared" si="0"/>
        <v>1.105923214883175</v>
      </c>
      <c r="C18" s="22">
        <f t="shared" si="1"/>
        <v>63.36478620029078</v>
      </c>
      <c r="D18" s="22">
        <f t="shared" si="2"/>
        <v>0.78386769188665117</v>
      </c>
      <c r="E18" s="22">
        <f t="shared" si="3"/>
        <v>44.912348377604083</v>
      </c>
      <c r="F18" s="22">
        <f t="shared" si="4"/>
        <v>0.58659069156284471</v>
      </c>
      <c r="G18" s="22">
        <f t="shared" si="5"/>
        <v>33.609199316687423</v>
      </c>
      <c r="H18" s="22">
        <f t="shared" si="6"/>
        <v>0.46242435474125076</v>
      </c>
      <c r="I18" s="22">
        <f t="shared" si="7"/>
        <v>26.494986250091561</v>
      </c>
      <c r="J18" s="22">
        <f t="shared" si="8"/>
        <v>0.37945204757102041</v>
      </c>
      <c r="K18" s="22">
        <f t="shared" si="9"/>
        <v>21.741019217270136</v>
      </c>
      <c r="L18" s="22">
        <f t="shared" si="10"/>
        <v>0.32083339398185223</v>
      </c>
      <c r="M18" s="22">
        <f t="shared" si="11"/>
        <v>18.382414928979721</v>
      </c>
      <c r="N18" s="22">
        <f t="shared" si="12"/>
        <v>0.27749215687777984</v>
      </c>
      <c r="O18" s="22">
        <f t="shared" si="13"/>
        <v>15.899142866510388</v>
      </c>
      <c r="P18" s="22">
        <f t="shared" si="22"/>
        <v>0.24425941209018406</v>
      </c>
      <c r="Q18" s="22">
        <f t="shared" si="15"/>
        <v>13.995045240223305</v>
      </c>
      <c r="R18" s="22">
        <f t="shared" si="16"/>
        <v>0.21802164319837464</v>
      </c>
      <c r="S18" s="22">
        <f t="shared" si="17"/>
        <v>12.491730549087386</v>
      </c>
      <c r="T18" s="22">
        <f t="shared" si="18"/>
        <v>0.19680774699840803</v>
      </c>
      <c r="U18" s="22">
        <f t="shared" si="19"/>
        <v>11.276262803138998</v>
      </c>
    </row>
    <row r="19" spans="1:21" x14ac:dyDescent="0.35">
      <c r="A19" s="21">
        <v>15</v>
      </c>
      <c r="B19" s="22">
        <f t="shared" si="0"/>
        <v>1.1329950232162747</v>
      </c>
      <c r="C19" s="22">
        <f t="shared" si="1"/>
        <v>64.91588787172401</v>
      </c>
      <c r="D19" s="22">
        <f t="shared" si="2"/>
        <v>0.81834026722211473</v>
      </c>
      <c r="E19" s="22">
        <f t="shared" si="3"/>
        <v>46.887483121597874</v>
      </c>
      <c r="F19" s="22">
        <f t="shared" si="4"/>
        <v>0.61880246080109813</v>
      </c>
      <c r="G19" s="22">
        <f t="shared" si="5"/>
        <v>35.454799303600296</v>
      </c>
      <c r="H19" s="22">
        <f t="shared" si="6"/>
        <v>0.49053612619618508</v>
      </c>
      <c r="I19" s="22">
        <f t="shared" si="7"/>
        <v>28.105673469584929</v>
      </c>
      <c r="J19" s="22">
        <f t="shared" si="8"/>
        <v>0.4037846819461029</v>
      </c>
      <c r="K19" s="22">
        <f t="shared" si="9"/>
        <v>23.135177648992556</v>
      </c>
      <c r="L19" s="22">
        <f t="shared" si="10"/>
        <v>0.34205555727378173</v>
      </c>
      <c r="M19" s="22">
        <f t="shared" si="11"/>
        <v>19.598356344806518</v>
      </c>
      <c r="N19" s="22">
        <f t="shared" si="12"/>
        <v>0.2962085593555478</v>
      </c>
      <c r="O19" s="22">
        <f t="shared" si="13"/>
        <v>16.971514641948378</v>
      </c>
      <c r="P19" s="22">
        <f t="shared" si="22"/>
        <v>0.26094950660033994</v>
      </c>
      <c r="Q19" s="22">
        <f t="shared" si="15"/>
        <v>14.951318023058766</v>
      </c>
      <c r="R19" s="22">
        <f t="shared" si="16"/>
        <v>0.23305442399771459</v>
      </c>
      <c r="S19" s="22">
        <f t="shared" si="17"/>
        <v>13.353046170757047</v>
      </c>
      <c r="T19" s="22">
        <f t="shared" si="18"/>
        <v>0.21046708707720871</v>
      </c>
      <c r="U19" s="22">
        <f t="shared" si="19"/>
        <v>12.058886001641707</v>
      </c>
    </row>
    <row r="20" spans="1:21" x14ac:dyDescent="0.35">
      <c r="A20" s="21">
        <v>16</v>
      </c>
      <c r="B20" s="22">
        <f t="shared" si="0"/>
        <v>1.1572606976248259</v>
      </c>
      <c r="C20" s="22">
        <f t="shared" si="1"/>
        <v>66.306209776727286</v>
      </c>
      <c r="D20" s="22">
        <f t="shared" si="2"/>
        <v>0.85044909139598612</v>
      </c>
      <c r="E20" s="22">
        <f t="shared" si="3"/>
        <v>48.727184785817848</v>
      </c>
      <c r="F20" s="22">
        <f t="shared" si="4"/>
        <v>0.64960174398239157</v>
      </c>
      <c r="G20" s="22">
        <f t="shared" si="5"/>
        <v>37.219469732470017</v>
      </c>
      <c r="H20" s="22">
        <f t="shared" si="6"/>
        <v>0.51782857764722456</v>
      </c>
      <c r="I20" s="22">
        <f t="shared" si="7"/>
        <v>29.669417071132909</v>
      </c>
      <c r="J20" s="22">
        <f t="shared" si="8"/>
        <v>0.42762177227538073</v>
      </c>
      <c r="K20" s="22">
        <f t="shared" si="9"/>
        <v>24.500943474345327</v>
      </c>
      <c r="L20" s="22">
        <f t="shared" si="10"/>
        <v>0.36296182427500701</v>
      </c>
      <c r="M20" s="22">
        <f t="shared" si="11"/>
        <v>20.796198221124104</v>
      </c>
      <c r="N20" s="22">
        <f t="shared" si="12"/>
        <v>0.31471358482576955</v>
      </c>
      <c r="O20" s="22">
        <f t="shared" si="13"/>
        <v>18.031775396738123</v>
      </c>
      <c r="P20" s="22">
        <f t="shared" si="22"/>
        <v>0.27749215687777984</v>
      </c>
      <c r="Q20" s="22">
        <f t="shared" si="15"/>
        <v>15.899142866510388</v>
      </c>
      <c r="R20" s="22">
        <f t="shared" si="16"/>
        <v>0.24798069013952931</v>
      </c>
      <c r="S20" s="22">
        <f t="shared" si="17"/>
        <v>14.208258946939376</v>
      </c>
      <c r="T20" s="22">
        <f t="shared" si="18"/>
        <v>0.2240471771367232</v>
      </c>
      <c r="U20" s="22">
        <f t="shared" si="19"/>
        <v>12.836968504677623</v>
      </c>
    </row>
    <row r="21" spans="1:21" x14ac:dyDescent="0.35">
      <c r="A21" s="21">
        <v>17</v>
      </c>
      <c r="B21" s="22">
        <f t="shared" si="0"/>
        <v>1.1791104409792423</v>
      </c>
      <c r="C21" s="22">
        <f t="shared" si="1"/>
        <v>67.558108911813321</v>
      </c>
      <c r="D21" s="22">
        <f t="shared" si="2"/>
        <v>0.88036942658371176</v>
      </c>
      <c r="E21" s="22">
        <f t="shared" si="3"/>
        <v>50.441495161707323</v>
      </c>
      <c r="F21" s="22">
        <f t="shared" si="4"/>
        <v>0.67902477456548493</v>
      </c>
      <c r="G21" s="22">
        <f t="shared" si="5"/>
        <v>38.905286629314233</v>
      </c>
      <c r="H21" s="22">
        <f t="shared" si="6"/>
        <v>0.54429812895703855</v>
      </c>
      <c r="I21" s="22">
        <f t="shared" si="7"/>
        <v>31.186011927803101</v>
      </c>
      <c r="J21" s="22">
        <f t="shared" si="8"/>
        <v>0.45095205249482323</v>
      </c>
      <c r="K21" s="22">
        <f t="shared" si="9"/>
        <v>25.837671194862533</v>
      </c>
      <c r="L21" s="22">
        <f t="shared" si="10"/>
        <v>0.38354133748085489</v>
      </c>
      <c r="M21" s="22">
        <f t="shared" si="11"/>
        <v>21.975318468213192</v>
      </c>
      <c r="N21" s="22">
        <f t="shared" si="12"/>
        <v>0.33299834076983342</v>
      </c>
      <c r="O21" s="22">
        <f t="shared" si="13"/>
        <v>19.079415626663575</v>
      </c>
      <c r="P21" s="22">
        <f t="shared" si="22"/>
        <v>0.29388037766188918</v>
      </c>
      <c r="Q21" s="22">
        <f t="shared" si="15"/>
        <v>16.838119544288102</v>
      </c>
      <c r="R21" s="22">
        <f t="shared" si="16"/>
        <v>0.26279499175972765</v>
      </c>
      <c r="S21" s="22">
        <f t="shared" si="17"/>
        <v>15.057056623159285</v>
      </c>
      <c r="T21" s="22">
        <f t="shared" si="18"/>
        <v>0.23754374115058807</v>
      </c>
      <c r="U21" s="22">
        <f t="shared" si="19"/>
        <v>13.6102653137761</v>
      </c>
    </row>
    <row r="22" spans="1:21" x14ac:dyDescent="0.35">
      <c r="A22" s="21">
        <v>18</v>
      </c>
      <c r="B22" s="22">
        <f t="shared" si="0"/>
        <v>1.1988698780299354</v>
      </c>
      <c r="C22" s="22">
        <f t="shared" si="1"/>
        <v>68.690242216644563</v>
      </c>
      <c r="D22" s="22">
        <f t="shared" si="2"/>
        <v>0.90826921874815758</v>
      </c>
      <c r="E22" s="22">
        <f t="shared" si="3"/>
        <v>52.040036852252641</v>
      </c>
      <c r="F22" s="22">
        <f t="shared" si="4"/>
        <v>0.70711416007943584</v>
      </c>
      <c r="G22" s="22">
        <f t="shared" si="5"/>
        <v>40.514691227785441</v>
      </c>
      <c r="H22" s="22">
        <f t="shared" si="6"/>
        <v>0.56994602145746243</v>
      </c>
      <c r="I22" s="22">
        <f t="shared" si="7"/>
        <v>32.655529162730737</v>
      </c>
      <c r="J22" s="22">
        <f t="shared" si="8"/>
        <v>0.4737669348061932</v>
      </c>
      <c r="K22" s="22">
        <f t="shared" si="9"/>
        <v>27.144868765534262</v>
      </c>
      <c r="L22" s="22">
        <f t="shared" si="10"/>
        <v>0.4037846819461029</v>
      </c>
      <c r="M22" s="22">
        <f t="shared" si="11"/>
        <v>23.135177648992556</v>
      </c>
      <c r="N22" s="22">
        <f t="shared" si="12"/>
        <v>0.35105473365457307</v>
      </c>
      <c r="O22" s="22">
        <f t="shared" si="13"/>
        <v>20.113971606041257</v>
      </c>
      <c r="P22" s="22">
        <f t="shared" si="22"/>
        <v>0.31010764501589294</v>
      </c>
      <c r="Q22" s="22">
        <f t="shared" si="15"/>
        <v>17.767874262033153</v>
      </c>
      <c r="R22" s="22">
        <f t="shared" si="16"/>
        <v>0.27749215687777984</v>
      </c>
      <c r="S22" s="22">
        <f t="shared" si="17"/>
        <v>15.899142866510388</v>
      </c>
      <c r="T22" s="22">
        <f t="shared" si="18"/>
        <v>0.25095267717185837</v>
      </c>
      <c r="U22" s="22">
        <f t="shared" si="19"/>
        <v>14.378541404490882</v>
      </c>
    </row>
    <row r="23" spans="1:21" x14ac:dyDescent="0.35">
      <c r="A23" s="21">
        <v>19</v>
      </c>
      <c r="B23" s="22">
        <f t="shared" si="0"/>
        <v>1.2168118406875068</v>
      </c>
      <c r="C23" s="22">
        <f t="shared" si="1"/>
        <v>69.718241821418843</v>
      </c>
      <c r="D23" s="22">
        <f t="shared" si="2"/>
        <v>0.93430714938203796</v>
      </c>
      <c r="E23" s="22">
        <f t="shared" si="3"/>
        <v>53.531901644952661</v>
      </c>
      <c r="F23" s="22">
        <f t="shared" si="4"/>
        <v>0.7339171618764242</v>
      </c>
      <c r="G23" s="22">
        <f t="shared" si="5"/>
        <v>42.050391406184879</v>
      </c>
      <c r="H23" s="22">
        <f t="shared" si="6"/>
        <v>0.59477774246522708</v>
      </c>
      <c r="I23" s="22">
        <f t="shared" si="7"/>
        <v>34.078283176270894</v>
      </c>
      <c r="J23" s="22">
        <f t="shared" si="8"/>
        <v>0.49606035072615567</v>
      </c>
      <c r="K23" s="22">
        <f t="shared" si="9"/>
        <v>28.422188487583682</v>
      </c>
      <c r="L23" s="22">
        <f t="shared" si="10"/>
        <v>0.42368384873419451</v>
      </c>
      <c r="M23" s="22">
        <f t="shared" si="11"/>
        <v>24.275316884811517</v>
      </c>
      <c r="N23" s="22">
        <f t="shared" si="12"/>
        <v>0.36887546591353759</v>
      </c>
      <c r="O23" s="22">
        <f t="shared" si="13"/>
        <v>21.135025214759651</v>
      </c>
      <c r="P23" s="22">
        <f t="shared" si="22"/>
        <v>0.32616790130092865</v>
      </c>
      <c r="Q23" s="22">
        <f t="shared" si="15"/>
        <v>18.688059942311746</v>
      </c>
      <c r="R23" s="22">
        <f t="shared" si="16"/>
        <v>0.29206729725123715</v>
      </c>
      <c r="S23" s="22">
        <f t="shared" si="17"/>
        <v>16.73423760109457</v>
      </c>
      <c r="T23" s="22">
        <f t="shared" si="18"/>
        <v>0.26427006231057926</v>
      </c>
      <c r="U23" s="22">
        <f t="shared" si="19"/>
        <v>15.141572011594215</v>
      </c>
    </row>
    <row r="24" spans="1:21" x14ac:dyDescent="0.35">
      <c r="A24" s="21">
        <v>20</v>
      </c>
      <c r="B24" s="22">
        <f t="shared" si="0"/>
        <v>1.2331659493924667</v>
      </c>
      <c r="C24" s="22">
        <f t="shared" si="1"/>
        <v>70.655264019379999</v>
      </c>
      <c r="D24" s="22">
        <f t="shared" si="2"/>
        <v>0.95863158164256357</v>
      </c>
      <c r="E24" s="22">
        <f t="shared" si="3"/>
        <v>54.925590129730949</v>
      </c>
      <c r="F24" s="22">
        <f t="shared" si="4"/>
        <v>0.75948421658285825</v>
      </c>
      <c r="G24" s="22">
        <f t="shared" si="5"/>
        <v>43.515276972779546</v>
      </c>
      <c r="H24" s="22">
        <f t="shared" si="6"/>
        <v>0.61880246080109824</v>
      </c>
      <c r="I24" s="22">
        <f t="shared" si="7"/>
        <v>35.454799303600311</v>
      </c>
      <c r="J24" s="22">
        <f t="shared" si="8"/>
        <v>0.51782857764722445</v>
      </c>
      <c r="K24" s="22">
        <f t="shared" si="9"/>
        <v>29.669417071132898</v>
      </c>
      <c r="L24" s="22">
        <f t="shared" si="10"/>
        <v>0.44323218820360377</v>
      </c>
      <c r="M24" s="22">
        <f t="shared" si="11"/>
        <v>25.395355178953547</v>
      </c>
      <c r="N24" s="22">
        <f t="shared" si="12"/>
        <v>0.3864540274195008</v>
      </c>
      <c r="O24" s="22">
        <f t="shared" si="13"/>
        <v>22.142203449689536</v>
      </c>
      <c r="P24" s="22">
        <f t="shared" si="22"/>
        <v>0.34205555727378179</v>
      </c>
      <c r="Q24" s="22">
        <f t="shared" si="15"/>
        <v>19.598356344806522</v>
      </c>
      <c r="R24" s="22">
        <f t="shared" si="16"/>
        <v>0.30651581270548828</v>
      </c>
      <c r="S24" s="22">
        <f t="shared" si="17"/>
        <v>17.562077256098949</v>
      </c>
      <c r="T24" s="22">
        <f t="shared" si="18"/>
        <v>0.27749215687777978</v>
      </c>
      <c r="U24" s="22">
        <f t="shared" si="19"/>
        <v>15.899142866510386</v>
      </c>
    </row>
    <row r="25" spans="1:21" x14ac:dyDescent="0.35">
      <c r="A25" s="21">
        <v>21</v>
      </c>
      <c r="B25" s="22">
        <f t="shared" si="0"/>
        <v>1.2481263633291548</v>
      </c>
      <c r="C25" s="22">
        <f t="shared" si="1"/>
        <v>71.512433321740872</v>
      </c>
      <c r="D25" s="22">
        <f t="shared" si="2"/>
        <v>0.98138014806058993</v>
      </c>
      <c r="E25" s="22">
        <f t="shared" si="3"/>
        <v>56.228988076390038</v>
      </c>
      <c r="F25" s="22">
        <f t="shared" si="4"/>
        <v>0.78386769188665117</v>
      </c>
      <c r="G25" s="22">
        <f t="shared" si="5"/>
        <v>44.912348377604083</v>
      </c>
      <c r="H25" s="22">
        <f t="shared" si="6"/>
        <v>0.64203248540471913</v>
      </c>
      <c r="I25" s="22">
        <f t="shared" si="7"/>
        <v>36.785782795606508</v>
      </c>
      <c r="J25" s="22">
        <f t="shared" si="8"/>
        <v>0.53907005589710111</v>
      </c>
      <c r="K25" s="22">
        <f t="shared" si="9"/>
        <v>30.8864651534663</v>
      </c>
      <c r="L25" s="22">
        <f t="shared" si="10"/>
        <v>0.46242435474125076</v>
      </c>
      <c r="M25" s="22">
        <f t="shared" si="11"/>
        <v>26.494986250091561</v>
      </c>
      <c r="N25" s="22">
        <f t="shared" si="12"/>
        <v>0.40378468194610301</v>
      </c>
      <c r="O25" s="22">
        <f t="shared" si="13"/>
        <v>23.13517764899256</v>
      </c>
      <c r="P25" s="22">
        <f t="shared" si="22"/>
        <v>0.35776549145955466</v>
      </c>
      <c r="Q25" s="22">
        <f t="shared" si="15"/>
        <v>20.498470030373106</v>
      </c>
      <c r="R25" s="22">
        <f t="shared" si="16"/>
        <v>0.32083339398185229</v>
      </c>
      <c r="S25" s="22">
        <f t="shared" si="17"/>
        <v>18.382414928979724</v>
      </c>
      <c r="T25" s="22">
        <f t="shared" si="18"/>
        <v>0.29061540770536559</v>
      </c>
      <c r="U25" s="22">
        <f t="shared" si="19"/>
        <v>16.651050387531729</v>
      </c>
    </row>
    <row r="26" spans="1:21" x14ac:dyDescent="0.35">
      <c r="A26" s="21">
        <v>22</v>
      </c>
      <c r="B26" s="22">
        <f t="shared" si="0"/>
        <v>1.2618580392023633</v>
      </c>
      <c r="C26" s="22">
        <f t="shared" si="1"/>
        <v>72.299201059471599</v>
      </c>
      <c r="D26" s="22">
        <f t="shared" si="2"/>
        <v>1.0026797826796767</v>
      </c>
      <c r="E26" s="22">
        <f t="shared" si="3"/>
        <v>57.449368276045512</v>
      </c>
      <c r="F26" s="22">
        <f t="shared" si="4"/>
        <v>0.80712086048109288</v>
      </c>
      <c r="G26" s="22">
        <f t="shared" si="5"/>
        <v>46.244657923725484</v>
      </c>
      <c r="H26" s="22">
        <f t="shared" si="6"/>
        <v>0.66448275592884976</v>
      </c>
      <c r="I26" s="22">
        <f t="shared" si="7"/>
        <v>38.072089632063054</v>
      </c>
      <c r="J26" s="22">
        <f t="shared" si="8"/>
        <v>0.55978520077747984</v>
      </c>
      <c r="K26" s="22">
        <f t="shared" si="9"/>
        <v>32.073356529638296</v>
      </c>
      <c r="L26" s="22">
        <f t="shared" si="10"/>
        <v>0.48125624453216231</v>
      </c>
      <c r="M26" s="22">
        <f t="shared" si="11"/>
        <v>27.573974966749073</v>
      </c>
      <c r="N26" s="22">
        <f t="shared" si="12"/>
        <v>0.42086244914604842</v>
      </c>
      <c r="O26" s="22">
        <f t="shared" si="13"/>
        <v>24.113662459547147</v>
      </c>
      <c r="P26" s="22">
        <f t="shared" si="22"/>
        <v>0.37329304697163507</v>
      </c>
      <c r="Q26" s="22">
        <f t="shared" si="15"/>
        <v>21.388134178837568</v>
      </c>
      <c r="R26" s="22">
        <f t="shared" si="16"/>
        <v>0.33501602415863474</v>
      </c>
      <c r="S26" s="22">
        <f t="shared" si="17"/>
        <v>19.195020466882774</v>
      </c>
      <c r="T26" s="22">
        <f t="shared" si="18"/>
        <v>0.30363645065736156</v>
      </c>
      <c r="U26" s="22">
        <f t="shared" si="19"/>
        <v>17.397101823702354</v>
      </c>
    </row>
    <row r="27" spans="1:21" x14ac:dyDescent="0.35">
      <c r="A27" s="21">
        <v>23</v>
      </c>
      <c r="B27" s="22">
        <f t="shared" si="0"/>
        <v>1.2745017885381404</v>
      </c>
      <c r="C27" s="22">
        <f t="shared" si="1"/>
        <v>73.023635145536261</v>
      </c>
      <c r="D27" s="22">
        <f t="shared" si="2"/>
        <v>1.0226470484465073</v>
      </c>
      <c r="E27" s="22">
        <f t="shared" si="3"/>
        <v>58.593409299231062</v>
      </c>
      <c r="F27" s="22">
        <f t="shared" si="4"/>
        <v>0.82929707086700122</v>
      </c>
      <c r="G27" s="22">
        <f t="shared" si="5"/>
        <v>47.515262257665775</v>
      </c>
      <c r="H27" s="22">
        <f t="shared" si="6"/>
        <v>0.68617037133670655</v>
      </c>
      <c r="I27" s="22">
        <f t="shared" si="7"/>
        <v>39.314699512223804</v>
      </c>
      <c r="J27" s="22">
        <f t="shared" si="8"/>
        <v>0.57997621349961515</v>
      </c>
      <c r="K27" s="22">
        <f t="shared" si="9"/>
        <v>33.230217319870107</v>
      </c>
      <c r="L27" s="22">
        <f t="shared" si="10"/>
        <v>0.4997249278975483</v>
      </c>
      <c r="M27" s="22">
        <f t="shared" si="11"/>
        <v>28.632153470554307</v>
      </c>
      <c r="N27" s="22">
        <f t="shared" si="12"/>
        <v>0.43768308258972011</v>
      </c>
      <c r="O27" s="22">
        <f t="shared" si="13"/>
        <v>25.077414578652728</v>
      </c>
      <c r="P27" s="22">
        <f t="shared" si="22"/>
        <v>0.38863402596809055</v>
      </c>
      <c r="Q27" s="22">
        <f t="shared" si="15"/>
        <v>22.267108271370962</v>
      </c>
      <c r="R27" s="22">
        <f t="shared" si="16"/>
        <v>0.34905997870986172</v>
      </c>
      <c r="S27" s="22">
        <f t="shared" si="17"/>
        <v>19.999680470008855</v>
      </c>
      <c r="T27" s="22">
        <f t="shared" si="18"/>
        <v>0.31655211235344671</v>
      </c>
      <c r="U27" s="22">
        <f t="shared" si="19"/>
        <v>18.137115353569502</v>
      </c>
    </row>
    <row r="28" spans="1:21" x14ac:dyDescent="0.35">
      <c r="A28" s="21">
        <v>24</v>
      </c>
      <c r="B28" s="22">
        <f t="shared" si="0"/>
        <v>1.2861783724784466</v>
      </c>
      <c r="C28" s="22">
        <f t="shared" si="1"/>
        <v>73.692654689542678</v>
      </c>
      <c r="D28" s="22">
        <f t="shared" si="2"/>
        <v>1.041388649835566</v>
      </c>
      <c r="E28" s="22">
        <f t="shared" si="3"/>
        <v>59.667224867153855</v>
      </c>
      <c r="F28" s="22">
        <f t="shared" si="4"/>
        <v>0.85044909139598612</v>
      </c>
      <c r="G28" s="22">
        <f t="shared" si="5"/>
        <v>48.727184785817848</v>
      </c>
      <c r="H28" s="22">
        <f t="shared" si="6"/>
        <v>0.70711416007943595</v>
      </c>
      <c r="I28" s="22">
        <f t="shared" si="7"/>
        <v>40.514691227785441</v>
      </c>
      <c r="J28" s="22">
        <f t="shared" si="8"/>
        <v>0.599646894345784</v>
      </c>
      <c r="K28" s="22">
        <f t="shared" si="9"/>
        <v>34.357265264481086</v>
      </c>
      <c r="L28" s="22">
        <f t="shared" si="10"/>
        <v>0.51782857764722445</v>
      </c>
      <c r="M28" s="22">
        <f t="shared" si="11"/>
        <v>29.669417071132898</v>
      </c>
      <c r="N28" s="22">
        <f t="shared" si="12"/>
        <v>0.45424304441252411</v>
      </c>
      <c r="O28" s="22">
        <f t="shared" si="13"/>
        <v>26.026231301428368</v>
      </c>
      <c r="P28" s="22">
        <f t="shared" si="22"/>
        <v>0.40378468194610295</v>
      </c>
      <c r="Q28" s="22">
        <f t="shared" si="15"/>
        <v>23.13517764899256</v>
      </c>
      <c r="R28" s="22">
        <f t="shared" si="16"/>
        <v>0.36296182427500706</v>
      </c>
      <c r="S28" s="22">
        <f t="shared" si="17"/>
        <v>20.796198221124104</v>
      </c>
      <c r="T28" s="22">
        <f t="shared" si="18"/>
        <v>0.32935941113068729</v>
      </c>
      <c r="U28" s="22">
        <f t="shared" si="19"/>
        <v>18.870920140286835</v>
      </c>
    </row>
    <row r="29" spans="1:21" x14ac:dyDescent="0.35">
      <c r="A29" s="21">
        <v>25</v>
      </c>
      <c r="B29" s="22">
        <f t="shared" si="0"/>
        <v>1.2969918271648702</v>
      </c>
      <c r="C29" s="22">
        <f t="shared" si="1"/>
        <v>74.312220528355596</v>
      </c>
      <c r="D29" s="22">
        <f t="shared" si="2"/>
        <v>1.0590020514817235</v>
      </c>
      <c r="E29" s="22">
        <f t="shared" si="3"/>
        <v>60.676399296760636</v>
      </c>
      <c r="F29" s="22">
        <f t="shared" si="4"/>
        <v>0.87062860361395511</v>
      </c>
      <c r="G29" s="22">
        <f t="shared" si="5"/>
        <v>49.883386645142089</v>
      </c>
      <c r="H29" s="22">
        <f t="shared" si="6"/>
        <v>0.72733429341716649</v>
      </c>
      <c r="I29" s="22">
        <f t="shared" si="7"/>
        <v>41.673220507796998</v>
      </c>
      <c r="J29" s="22">
        <f t="shared" si="8"/>
        <v>0.61880246080109813</v>
      </c>
      <c r="K29" s="22">
        <f t="shared" si="9"/>
        <v>35.454799303600296</v>
      </c>
      <c r="L29" s="22">
        <f t="shared" si="10"/>
        <v>0.53556639478389345</v>
      </c>
      <c r="M29" s="22">
        <f t="shared" si="11"/>
        <v>30.68571998927321</v>
      </c>
      <c r="N29" s="22">
        <f t="shared" si="12"/>
        <v>0.47053947711306771</v>
      </c>
      <c r="O29" s="22">
        <f t="shared" si="13"/>
        <v>26.959948904966016</v>
      </c>
      <c r="P29" s="22">
        <f t="shared" si="22"/>
        <v>0.41874171008445682</v>
      </c>
      <c r="Q29" s="22">
        <f t="shared" si="15"/>
        <v>23.99215295923473</v>
      </c>
      <c r="R29" s="22">
        <f t="shared" si="16"/>
        <v>0.3767184162201212</v>
      </c>
      <c r="S29" s="22">
        <f t="shared" si="17"/>
        <v>21.584393545822916</v>
      </c>
      <c r="T29" s="22">
        <f t="shared" si="18"/>
        <v>0.34205555727378173</v>
      </c>
      <c r="U29" s="22">
        <f t="shared" si="19"/>
        <v>19.598356344806518</v>
      </c>
    </row>
    <row r="31" spans="1:21" ht="15" customHeight="1" x14ac:dyDescent="0.35">
      <c r="A31" s="1" t="s">
        <v>73</v>
      </c>
      <c r="B31" s="27">
        <f>0.5*1.2*13.5*13.5</f>
        <v>109.35</v>
      </c>
      <c r="C31" s="109" t="s">
        <v>74</v>
      </c>
      <c r="D31" s="109"/>
      <c r="I31" s="25"/>
    </row>
    <row r="32" spans="1:21" x14ac:dyDescent="0.35">
      <c r="A32" s="1" t="s">
        <v>75</v>
      </c>
      <c r="B32" s="27">
        <f>1.2</f>
        <v>1.2</v>
      </c>
      <c r="C32" s="109"/>
      <c r="D32" s="109"/>
    </row>
    <row r="33" spans="1:8" x14ac:dyDescent="0.35">
      <c r="A33" s="1" t="s">
        <v>76</v>
      </c>
      <c r="B33" s="27">
        <f>0.08</f>
        <v>0.08</v>
      </c>
      <c r="C33" s="109"/>
      <c r="D33" s="109"/>
    </row>
    <row r="34" spans="1:8" ht="15" customHeight="1" x14ac:dyDescent="0.35">
      <c r="A34" s="97" t="s">
        <v>77</v>
      </c>
      <c r="B34" s="100">
        <f>2000000*60/(2*3.14159*14.9)</f>
        <v>1281785.859257221</v>
      </c>
      <c r="C34" s="103" t="s">
        <v>78</v>
      </c>
      <c r="D34" s="104"/>
      <c r="G34" s="32"/>
      <c r="H34" s="32"/>
    </row>
    <row r="35" spans="1:8" x14ac:dyDescent="0.35">
      <c r="A35" s="98"/>
      <c r="B35" s="101"/>
      <c r="C35" s="105"/>
      <c r="D35" s="106"/>
      <c r="G35" s="32"/>
      <c r="H35" s="32"/>
    </row>
    <row r="36" spans="1:8" x14ac:dyDescent="0.35">
      <c r="A36" s="99"/>
      <c r="B36" s="102"/>
      <c r="C36" s="107"/>
      <c r="D36" s="108"/>
      <c r="G36" s="32"/>
      <c r="H36" s="32"/>
    </row>
    <row r="37" spans="1:8" x14ac:dyDescent="0.35">
      <c r="A37" s="97" t="s">
        <v>77</v>
      </c>
      <c r="B37" s="100">
        <f>B34/3</f>
        <v>427261.95308574033</v>
      </c>
      <c r="C37" s="103" t="s">
        <v>79</v>
      </c>
      <c r="D37" s="104"/>
      <c r="G37" s="32"/>
      <c r="H37" s="32"/>
    </row>
    <row r="38" spans="1:8" x14ac:dyDescent="0.35">
      <c r="A38" s="98"/>
      <c r="B38" s="101"/>
      <c r="C38" s="105"/>
      <c r="D38" s="106"/>
      <c r="G38" s="32"/>
      <c r="H38" s="32"/>
    </row>
    <row r="39" spans="1:8" x14ac:dyDescent="0.35">
      <c r="A39" s="99"/>
      <c r="B39" s="102"/>
      <c r="C39" s="107"/>
      <c r="D39" s="108"/>
      <c r="G39" s="32"/>
      <c r="H39" s="32"/>
    </row>
    <row r="40" spans="1:8" x14ac:dyDescent="0.35">
      <c r="G40" s="32"/>
      <c r="H40" s="32"/>
    </row>
    <row r="58" spans="11:11" x14ac:dyDescent="0.35">
      <c r="K58" s="24"/>
    </row>
  </sheetData>
  <mergeCells count="21">
    <mergeCell ref="A1:O1"/>
    <mergeCell ref="A3:B3"/>
    <mergeCell ref="R5:S5"/>
    <mergeCell ref="T5:U5"/>
    <mergeCell ref="H5:I5"/>
    <mergeCell ref="D5:E5"/>
    <mergeCell ref="A5:A6"/>
    <mergeCell ref="A2:B2"/>
    <mergeCell ref="B5:C5"/>
    <mergeCell ref="F5:G5"/>
    <mergeCell ref="J5:K5"/>
    <mergeCell ref="L5:M5"/>
    <mergeCell ref="N5:O5"/>
    <mergeCell ref="P5:Q5"/>
    <mergeCell ref="A37:A39"/>
    <mergeCell ref="B37:B39"/>
    <mergeCell ref="C37:D39"/>
    <mergeCell ref="C31:D33"/>
    <mergeCell ref="A34:A36"/>
    <mergeCell ref="B34:B36"/>
    <mergeCell ref="C34:D36"/>
  </mergeCells>
  <pageMargins left="0.7" right="0.7" top="0.75" bottom="0.75" header="0.3" footer="0.3"/>
  <pageSetup orientation="portrait" horizontalDpi="300" verticalDpi="0" copies="0" r:id="rId1"/>
  <ignoredErrors>
    <ignoredError sqref="D7:D29 F7:F29 H7:H29 J7:J29 L7:L29 N7:N29 P7:P29 R7:R29 T7:T2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BD77-65F8-4716-87D7-D3C3C92B639C}">
  <dimension ref="A1:U39"/>
  <sheetViews>
    <sheetView zoomScale="85" workbookViewId="0">
      <selection activeCell="X25" sqref="X25:Z29"/>
    </sheetView>
  </sheetViews>
  <sheetFormatPr defaultRowHeight="14.5" x14ac:dyDescent="0.35"/>
  <cols>
    <col min="24" max="24" width="10.7265625" bestFit="1" customWidth="1"/>
  </cols>
  <sheetData>
    <row r="1" spans="1:21" ht="23.5" x14ac:dyDescent="0.55000000000000004">
      <c r="A1" s="1" t="s">
        <v>80</v>
      </c>
      <c r="B1" s="25">
        <f>(2*PI()*14.9)/60</f>
        <v>1.5603243512829306</v>
      </c>
      <c r="K1" s="47" t="s">
        <v>81</v>
      </c>
      <c r="L1" s="47"/>
      <c r="M1" s="47"/>
      <c r="N1" s="47"/>
      <c r="O1" s="47"/>
    </row>
    <row r="2" spans="1:21" ht="29" x14ac:dyDescent="0.35">
      <c r="A2" s="35" t="s">
        <v>73</v>
      </c>
      <c r="B2">
        <f>0.5*1.225*13.5*13.5</f>
        <v>111.62812500000001</v>
      </c>
    </row>
    <row r="3" spans="1:21" ht="29" x14ac:dyDescent="0.35">
      <c r="B3" t="s">
        <v>82</v>
      </c>
      <c r="C3" t="s">
        <v>83</v>
      </c>
      <c r="D3" s="19" t="s">
        <v>84</v>
      </c>
      <c r="E3" t="s">
        <v>75</v>
      </c>
      <c r="F3" t="s">
        <v>76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</row>
    <row r="4" spans="1:21" x14ac:dyDescent="0.35">
      <c r="A4">
        <v>0</v>
      </c>
      <c r="B4">
        <v>2.1</v>
      </c>
      <c r="C4">
        <v>15</v>
      </c>
      <c r="D4">
        <f>RADIANS(C4)</f>
        <v>0.26179938779914941</v>
      </c>
      <c r="E4">
        <v>4.3157305254404303E-2</v>
      </c>
      <c r="F4">
        <v>0</v>
      </c>
      <c r="G4" t="s">
        <v>93</v>
      </c>
      <c r="I4">
        <f>B$2*B4*E4</f>
        <v>10.116895037763781</v>
      </c>
      <c r="L4">
        <f>I4*A4</f>
        <v>0</v>
      </c>
      <c r="M4" t="s">
        <v>93</v>
      </c>
    </row>
    <row r="5" spans="1:21" x14ac:dyDescent="0.35">
      <c r="A5">
        <v>1.399</v>
      </c>
      <c r="B5">
        <v>2.2090000000000001</v>
      </c>
      <c r="C5">
        <v>15</v>
      </c>
      <c r="D5">
        <f t="shared" ref="D5:D20" si="0">RADIANS(C5)</f>
        <v>0.26179938779914941</v>
      </c>
      <c r="E5">
        <v>0.197528002148428</v>
      </c>
      <c r="F5">
        <v>0</v>
      </c>
      <c r="G5">
        <v>1.3725659163157999</v>
      </c>
      <c r="H5">
        <f>DEGREES(G5)</f>
        <v>78.64223410840188</v>
      </c>
      <c r="I5">
        <f>B$2*B5*E5*SIN(G5)</f>
        <v>47.753881325743421</v>
      </c>
      <c r="L5">
        <f t="shared" ref="L5:L20" si="1">I5*A5</f>
        <v>66.807679974715043</v>
      </c>
      <c r="M5">
        <v>1.1107665285166499</v>
      </c>
      <c r="N5">
        <f>DEGREES(M5)</f>
        <v>63.642234108401844</v>
      </c>
    </row>
    <row r="6" spans="1:21" x14ac:dyDescent="0.35">
      <c r="A6">
        <v>6.7469999999999999</v>
      </c>
      <c r="B6">
        <v>2.597</v>
      </c>
      <c r="C6">
        <v>14.69</v>
      </c>
      <c r="D6">
        <f t="shared" si="0"/>
        <v>0.25638886711796699</v>
      </c>
      <c r="E6">
        <v>1.0607338984727399</v>
      </c>
      <c r="F6">
        <v>0</v>
      </c>
      <c r="G6">
        <v>0.84342983486309897</v>
      </c>
      <c r="H6">
        <f t="shared" ref="H6:H20" si="2">DEGREES(G6)</f>
        <v>48.324969853071551</v>
      </c>
      <c r="I6">
        <f t="shared" ref="I6:I20" si="3">B$2*B6*E6*SIN(G6)</f>
        <v>229.68402020618777</v>
      </c>
      <c r="L6">
        <f t="shared" si="1"/>
        <v>1549.6780843311487</v>
      </c>
      <c r="M6">
        <v>0.58704096774513204</v>
      </c>
      <c r="N6">
        <f t="shared" ref="N6:N20" si="4">DEGREES(M6)</f>
        <v>33.63496985307156</v>
      </c>
    </row>
    <row r="7" spans="1:21" x14ac:dyDescent="0.35">
      <c r="A7">
        <v>7.9870000000000001</v>
      </c>
      <c r="B7" s="31">
        <v>2.5859999999999999</v>
      </c>
      <c r="C7">
        <v>13.55</v>
      </c>
      <c r="D7">
        <f t="shared" si="0"/>
        <v>0.23649211364523168</v>
      </c>
      <c r="E7">
        <v>0.97022039874742705</v>
      </c>
      <c r="F7">
        <v>0</v>
      </c>
      <c r="G7">
        <v>0.77173326948053</v>
      </c>
      <c r="H7">
        <f t="shared" si="2"/>
        <v>44.217059251066587</v>
      </c>
      <c r="I7">
        <f t="shared" si="3"/>
        <v>195.31748414028164</v>
      </c>
      <c r="L7">
        <f t="shared" si="1"/>
        <v>1560.0007458284294</v>
      </c>
      <c r="M7">
        <v>0.53524115583529797</v>
      </c>
      <c r="N7">
        <f t="shared" si="4"/>
        <v>30.667059251066568</v>
      </c>
    </row>
    <row r="8" spans="1:21" ht="14.5" customHeight="1" x14ac:dyDescent="0.35">
      <c r="A8">
        <v>10.468999999999999</v>
      </c>
      <c r="B8">
        <v>2.4780000000000002</v>
      </c>
      <c r="C8">
        <v>12.413</v>
      </c>
      <c r="D8">
        <f t="shared" si="0"/>
        <v>0.21664772005005614</v>
      </c>
      <c r="E8">
        <v>0.79911049264870004</v>
      </c>
      <c r="F8">
        <v>0</v>
      </c>
      <c r="G8">
        <v>0.653649047984732</v>
      </c>
      <c r="H8">
        <f t="shared" si="2"/>
        <v>37.451331732269374</v>
      </c>
      <c r="I8">
        <f t="shared" si="3"/>
        <v>134.41499225193925</v>
      </c>
      <c r="L8">
        <f t="shared" si="1"/>
        <v>1407.1905538855519</v>
      </c>
      <c r="M8">
        <v>0.437001327934676</v>
      </c>
      <c r="N8">
        <f t="shared" si="4"/>
        <v>25.038331732269381</v>
      </c>
    </row>
    <row r="9" spans="1:21" x14ac:dyDescent="0.35">
      <c r="A9">
        <v>11.755000000000001</v>
      </c>
      <c r="B9">
        <v>2.3679999999999999</v>
      </c>
      <c r="C9">
        <v>11.27</v>
      </c>
      <c r="D9">
        <f t="shared" si="0"/>
        <v>0.19669860669976094</v>
      </c>
      <c r="E9">
        <v>0.75496682277880101</v>
      </c>
      <c r="F9">
        <v>0</v>
      </c>
      <c r="G9">
        <v>0.60258136471485302</v>
      </c>
      <c r="H9">
        <f t="shared" si="2"/>
        <v>34.52536901139446</v>
      </c>
      <c r="I9">
        <f t="shared" si="3"/>
        <v>113.10736327785173</v>
      </c>
      <c r="L9">
        <f t="shared" si="1"/>
        <v>1329.5770553311472</v>
      </c>
      <c r="M9">
        <v>0.40588275801509199</v>
      </c>
      <c r="N9">
        <f t="shared" si="4"/>
        <v>23.255369011394457</v>
      </c>
    </row>
    <row r="10" spans="1:21" ht="14.5" customHeight="1" x14ac:dyDescent="0.35">
      <c r="A10">
        <v>14.327</v>
      </c>
      <c r="B10">
        <v>2.2559999999999998</v>
      </c>
      <c r="C10">
        <v>10.045999999999999</v>
      </c>
      <c r="D10">
        <f t="shared" si="0"/>
        <v>0.17533577665535033</v>
      </c>
      <c r="E10">
        <v>0.69417776914068396</v>
      </c>
      <c r="F10">
        <v>0</v>
      </c>
      <c r="G10">
        <v>0.51698053238033304</v>
      </c>
      <c r="H10">
        <f t="shared" si="2"/>
        <v>29.620802595819477</v>
      </c>
      <c r="I10">
        <f t="shared" si="3"/>
        <v>86.404570688897522</v>
      </c>
      <c r="L10">
        <f t="shared" si="1"/>
        <v>1237.9182842598348</v>
      </c>
      <c r="M10">
        <v>0.34164475572498199</v>
      </c>
      <c r="N10">
        <f t="shared" si="4"/>
        <v>19.574802595819438</v>
      </c>
    </row>
    <row r="11" spans="1:21" x14ac:dyDescent="0.35">
      <c r="A11">
        <v>15.852</v>
      </c>
      <c r="B11">
        <v>2.1389999999999998</v>
      </c>
      <c r="C11">
        <v>8.6660000000000004</v>
      </c>
      <c r="D11">
        <f t="shared" si="0"/>
        <v>0.15125023297782861</v>
      </c>
      <c r="E11">
        <v>0.689763151981306</v>
      </c>
      <c r="F11">
        <v>0</v>
      </c>
      <c r="G11">
        <v>0.47543488915113602</v>
      </c>
      <c r="H11">
        <f t="shared" si="2"/>
        <v>27.240412581630224</v>
      </c>
      <c r="I11">
        <f t="shared" si="3"/>
        <v>75.385735808357211</v>
      </c>
      <c r="L11">
        <f t="shared" si="1"/>
        <v>1195.0146840340785</v>
      </c>
      <c r="M11">
        <v>0.324184656173307</v>
      </c>
      <c r="N11">
        <f t="shared" si="4"/>
        <v>18.574412581630199</v>
      </c>
    </row>
    <row r="12" spans="1:21" x14ac:dyDescent="0.35">
      <c r="A12">
        <v>18.902999999999999</v>
      </c>
      <c r="B12">
        <v>2.0049999999999999</v>
      </c>
      <c r="C12">
        <v>7.3460000000000001</v>
      </c>
      <c r="D12">
        <f t="shared" si="0"/>
        <v>0.12821188685150345</v>
      </c>
      <c r="E12">
        <v>0.76413854065717501</v>
      </c>
      <c r="F12">
        <v>0</v>
      </c>
      <c r="G12">
        <v>0.40476147800100098</v>
      </c>
      <c r="H12">
        <f t="shared" si="2"/>
        <v>23.191124398934672</v>
      </c>
      <c r="I12">
        <f t="shared" si="3"/>
        <v>67.349642905737753</v>
      </c>
      <c r="L12">
        <f t="shared" si="1"/>
        <v>1273.1102998471606</v>
      </c>
      <c r="M12">
        <v>0.27654959114949801</v>
      </c>
      <c r="N12">
        <f t="shared" si="4"/>
        <v>15.845124398934701</v>
      </c>
    </row>
    <row r="13" spans="1:21" x14ac:dyDescent="0.35">
      <c r="A13">
        <v>20.344999999999999</v>
      </c>
      <c r="B13">
        <v>1.8720000000000001</v>
      </c>
      <c r="C13">
        <v>6.0789999999999997</v>
      </c>
      <c r="D13">
        <f t="shared" si="0"/>
        <v>0.10609856522873529</v>
      </c>
      <c r="E13">
        <v>0.784363236145462</v>
      </c>
      <c r="F13">
        <v>0</v>
      </c>
      <c r="G13">
        <v>0.37888519135840099</v>
      </c>
      <c r="H13">
        <f t="shared" si="2"/>
        <v>21.708522384842947</v>
      </c>
      <c r="I13">
        <f t="shared" si="3"/>
        <v>60.62662213939592</v>
      </c>
      <c r="L13">
        <f t="shared" si="1"/>
        <v>1233.44862742601</v>
      </c>
      <c r="M13">
        <v>0.27278662612966598</v>
      </c>
      <c r="N13">
        <f t="shared" si="4"/>
        <v>15.629522384842963</v>
      </c>
      <c r="S13" s="115" t="s">
        <v>94</v>
      </c>
      <c r="T13" s="115"/>
      <c r="U13" s="115"/>
    </row>
    <row r="14" spans="1:21" x14ac:dyDescent="0.35">
      <c r="A14">
        <v>23.228999999999999</v>
      </c>
      <c r="B14">
        <v>1.752</v>
      </c>
      <c r="C14">
        <v>4.8010000000000002</v>
      </c>
      <c r="D14">
        <f t="shared" si="0"/>
        <v>8.3793257388247763E-2</v>
      </c>
      <c r="E14">
        <v>1.2705459469559499</v>
      </c>
      <c r="F14">
        <v>0</v>
      </c>
      <c r="G14">
        <v>0.32030263996008601</v>
      </c>
      <c r="H14">
        <f t="shared" si="2"/>
        <v>18.35198943661128</v>
      </c>
      <c r="I14">
        <f t="shared" si="3"/>
        <v>78.236079191341716</v>
      </c>
      <c r="L14">
        <f t="shared" si="1"/>
        <v>1817.3458835356766</v>
      </c>
      <c r="M14">
        <v>0.23650938257183801</v>
      </c>
      <c r="N14">
        <f t="shared" si="4"/>
        <v>13.550989436611266</v>
      </c>
      <c r="S14" s="116" t="s">
        <v>95</v>
      </c>
      <c r="T14" s="33">
        <f>SUM(L4:L20)</f>
        <v>18338.449841076359</v>
      </c>
      <c r="U14" s="33"/>
    </row>
    <row r="15" spans="1:21" x14ac:dyDescent="0.35">
      <c r="A15">
        <v>25.66</v>
      </c>
      <c r="B15">
        <v>1.593</v>
      </c>
      <c r="C15">
        <v>4.0380000000000003</v>
      </c>
      <c r="D15">
        <f t="shared" si="0"/>
        <v>7.0476395195531033E-2</v>
      </c>
      <c r="E15">
        <v>1.2132617747360399</v>
      </c>
      <c r="F15">
        <v>0</v>
      </c>
      <c r="G15">
        <v>0.29428550267498199</v>
      </c>
      <c r="H15">
        <f t="shared" si="2"/>
        <v>16.861317275162367</v>
      </c>
      <c r="I15">
        <f t="shared" si="3"/>
        <v>62.578621038228924</v>
      </c>
      <c r="L15">
        <f t="shared" si="1"/>
        <v>1605.7674158409543</v>
      </c>
      <c r="M15">
        <v>0.22380910747945101</v>
      </c>
      <c r="N15">
        <f t="shared" si="4"/>
        <v>12.823317275162369</v>
      </c>
      <c r="S15" s="116"/>
      <c r="T15" s="33">
        <f>T14-(L4/2)-(L20/2)</f>
        <v>18332.967175047932</v>
      </c>
      <c r="U15" s="33"/>
    </row>
    <row r="16" spans="1:21" x14ac:dyDescent="0.35">
      <c r="A16">
        <v>28.091000000000001</v>
      </c>
      <c r="B16">
        <v>1.4339999999999999</v>
      </c>
      <c r="C16">
        <v>2.4630000000000001</v>
      </c>
      <c r="D16">
        <f t="shared" si="0"/>
        <v>4.2987459476620339E-2</v>
      </c>
      <c r="E16">
        <v>1.23125369443262</v>
      </c>
      <c r="F16">
        <v>0</v>
      </c>
      <c r="G16">
        <v>0.27079996750902702</v>
      </c>
      <c r="H16">
        <f t="shared" si="2"/>
        <v>15.515695230547069</v>
      </c>
      <c r="I16">
        <f t="shared" si="3"/>
        <v>52.722732172302926</v>
      </c>
      <c r="L16">
        <f t="shared" si="1"/>
        <v>1481.0342694521617</v>
      </c>
      <c r="M16">
        <v>0.22781250803240599</v>
      </c>
      <c r="N16">
        <f t="shared" si="4"/>
        <v>13.052695230547029</v>
      </c>
      <c r="S16" s="113" t="s">
        <v>96</v>
      </c>
      <c r="T16" s="114">
        <f>T15*1.8</f>
        <v>32999.340915086279</v>
      </c>
      <c r="U16" s="114" t="s">
        <v>97</v>
      </c>
    </row>
    <row r="17" spans="1:21" x14ac:dyDescent="0.35">
      <c r="A17">
        <v>33.950000000000003</v>
      </c>
      <c r="B17">
        <v>1.073</v>
      </c>
      <c r="C17">
        <v>0.745</v>
      </c>
      <c r="D17">
        <f t="shared" si="0"/>
        <v>1.3002702927357754E-2</v>
      </c>
      <c r="E17">
        <v>1.18281658930134</v>
      </c>
      <c r="F17">
        <v>0</v>
      </c>
      <c r="G17">
        <v>0.230015377161813</v>
      </c>
      <c r="H17">
        <f t="shared" si="2"/>
        <v>13.178910334481708</v>
      </c>
      <c r="I17">
        <f t="shared" si="3"/>
        <v>32.300653696454617</v>
      </c>
      <c r="L17">
        <f t="shared" si="1"/>
        <v>1096.6071929946343</v>
      </c>
      <c r="M17">
        <v>0.217012674234455</v>
      </c>
      <c r="N17">
        <f t="shared" si="4"/>
        <v>12.433910334481695</v>
      </c>
      <c r="S17" s="113"/>
      <c r="T17" s="114"/>
      <c r="U17" s="114"/>
    </row>
    <row r="18" spans="1:21" x14ac:dyDescent="0.35">
      <c r="A18">
        <v>37.64</v>
      </c>
      <c r="B18">
        <v>0.74</v>
      </c>
      <c r="C18">
        <v>0.13800000000000001</v>
      </c>
      <c r="D18">
        <f>RADIANS(C18)</f>
        <v>2.4085543677521749E-3</v>
      </c>
      <c r="E18">
        <v>1.15490419615881</v>
      </c>
      <c r="F18">
        <v>0</v>
      </c>
      <c r="G18">
        <v>0.21317400872523601</v>
      </c>
      <c r="H18">
        <f t="shared" si="2"/>
        <v>12.21397100184101</v>
      </c>
      <c r="I18">
        <f t="shared" si="3"/>
        <v>20.183258326711407</v>
      </c>
      <c r="L18">
        <f t="shared" si="1"/>
        <v>759.6978434174174</v>
      </c>
      <c r="M18">
        <v>0.21076545435748401</v>
      </c>
      <c r="N18">
        <f t="shared" si="4"/>
        <v>12.075971001841019</v>
      </c>
      <c r="S18" s="113" t="s">
        <v>98</v>
      </c>
      <c r="T18" s="114">
        <f>T16*3</f>
        <v>98998.022745258844</v>
      </c>
      <c r="U18" s="114" t="s">
        <v>97</v>
      </c>
    </row>
    <row r="19" spans="1:21" x14ac:dyDescent="0.35">
      <c r="A19">
        <v>39.28</v>
      </c>
      <c r="B19">
        <v>0.71099999999999997</v>
      </c>
      <c r="C19">
        <v>3.3000000000000002E-2</v>
      </c>
      <c r="D19" s="46">
        <f t="shared" si="0"/>
        <v>5.7595865315812882E-4</v>
      </c>
      <c r="E19">
        <v>1.1261080763685201</v>
      </c>
      <c r="F19">
        <v>0</v>
      </c>
      <c r="G19">
        <v>0.20488971083847801</v>
      </c>
      <c r="H19">
        <f t="shared" si="2"/>
        <v>11.739315696700629</v>
      </c>
      <c r="I19">
        <f t="shared" si="3"/>
        <v>18.184467639017011</v>
      </c>
      <c r="L19">
        <f t="shared" si="1"/>
        <v>714.28588886058822</v>
      </c>
      <c r="M19">
        <v>0.20431375218532</v>
      </c>
      <c r="N19">
        <f t="shared" si="4"/>
        <v>11.706315696700637</v>
      </c>
      <c r="S19" s="113"/>
      <c r="T19" s="114"/>
      <c r="U19" s="114"/>
    </row>
    <row r="20" spans="1:21" x14ac:dyDescent="0.35">
      <c r="A20">
        <v>40.1</v>
      </c>
      <c r="B20">
        <v>0.01</v>
      </c>
      <c r="C20">
        <v>0</v>
      </c>
      <c r="D20">
        <f t="shared" si="0"/>
        <v>0</v>
      </c>
      <c r="E20">
        <v>1.1621273362364399</v>
      </c>
      <c r="F20">
        <v>0</v>
      </c>
      <c r="G20">
        <v>0.212383079513842</v>
      </c>
      <c r="H20">
        <f t="shared" si="2"/>
        <v>12.168654096134523</v>
      </c>
      <c r="I20">
        <f t="shared" si="3"/>
        <v>0.27344967722831559</v>
      </c>
      <c r="L20">
        <f t="shared" si="1"/>
        <v>10.965332056855456</v>
      </c>
      <c r="M20">
        <v>0.212383079513842</v>
      </c>
      <c r="N20">
        <f t="shared" si="4"/>
        <v>12.168654096134523</v>
      </c>
    </row>
    <row r="23" spans="1:21" x14ac:dyDescent="0.35">
      <c r="A23">
        <v>0</v>
      </c>
    </row>
    <row r="24" spans="1:21" x14ac:dyDescent="0.35">
      <c r="A24">
        <v>1.399</v>
      </c>
    </row>
    <row r="25" spans="1:21" x14ac:dyDescent="0.35">
      <c r="A25">
        <v>6.7469999999999999</v>
      </c>
      <c r="C25">
        <v>0</v>
      </c>
      <c r="D25">
        <v>1.399</v>
      </c>
      <c r="E25">
        <v>6.7469999999999999</v>
      </c>
      <c r="F25">
        <v>7.9870000000000001</v>
      </c>
      <c r="G25">
        <v>10.468999999999999</v>
      </c>
      <c r="H25">
        <v>11.755000000000001</v>
      </c>
      <c r="I25">
        <v>14.327</v>
      </c>
      <c r="J25">
        <v>15.852</v>
      </c>
      <c r="K25">
        <v>18.902999999999999</v>
      </c>
      <c r="L25">
        <v>20.344999999999999</v>
      </c>
      <c r="M25">
        <v>23.228999999999999</v>
      </c>
      <c r="N25">
        <v>25.66</v>
      </c>
      <c r="O25">
        <v>28.091000000000001</v>
      </c>
      <c r="P25">
        <v>33.950000000000003</v>
      </c>
      <c r="Q25">
        <v>37.64</v>
      </c>
      <c r="R25">
        <v>39.28</v>
      </c>
      <c r="S25">
        <v>40.1</v>
      </c>
    </row>
    <row r="26" spans="1:21" x14ac:dyDescent="0.35">
      <c r="A26">
        <v>7.9870000000000001</v>
      </c>
      <c r="C26">
        <v>2.1</v>
      </c>
      <c r="D26">
        <v>2.2090000000000001</v>
      </c>
      <c r="E26">
        <v>2.597</v>
      </c>
      <c r="F26" s="31" t="s">
        <v>99</v>
      </c>
      <c r="G26">
        <v>2.4780000000000002</v>
      </c>
      <c r="H26">
        <v>2.3679999999999999</v>
      </c>
      <c r="I26">
        <v>2.2559999999999998</v>
      </c>
      <c r="J26">
        <v>2.1389999999999998</v>
      </c>
      <c r="K26">
        <v>2.0049999999999999</v>
      </c>
      <c r="L26">
        <v>1.8720000000000001</v>
      </c>
      <c r="M26">
        <v>1.752</v>
      </c>
      <c r="N26">
        <v>1.593</v>
      </c>
      <c r="O26">
        <v>1.4339999999999999</v>
      </c>
      <c r="P26">
        <v>1.073</v>
      </c>
      <c r="Q26">
        <v>0.74</v>
      </c>
      <c r="R26">
        <v>0.71099999999999997</v>
      </c>
      <c r="S26">
        <v>0.01</v>
      </c>
    </row>
    <row r="27" spans="1:21" x14ac:dyDescent="0.35">
      <c r="A27">
        <v>10.468999999999999</v>
      </c>
      <c r="C27">
        <v>15</v>
      </c>
      <c r="D27">
        <v>15</v>
      </c>
      <c r="E27">
        <v>14.69</v>
      </c>
      <c r="F27">
        <v>13.55</v>
      </c>
      <c r="G27">
        <v>12.413</v>
      </c>
      <c r="H27">
        <v>11.27</v>
      </c>
      <c r="I27">
        <v>10.045999999999999</v>
      </c>
      <c r="J27">
        <v>8.6660000000000004</v>
      </c>
      <c r="K27">
        <v>7.3460000000000001</v>
      </c>
      <c r="L27">
        <v>6.0789999999999997</v>
      </c>
      <c r="M27">
        <v>4.8010000000000002</v>
      </c>
      <c r="N27">
        <v>4.0380000000000003</v>
      </c>
      <c r="O27">
        <v>2.4630000000000001</v>
      </c>
      <c r="P27">
        <v>0.745</v>
      </c>
      <c r="Q27">
        <v>0.13800000000000001</v>
      </c>
      <c r="R27">
        <v>3.3000000000000002E-2</v>
      </c>
      <c r="S27">
        <v>0</v>
      </c>
    </row>
    <row r="28" spans="1:21" x14ac:dyDescent="0.35">
      <c r="A28">
        <v>11.755000000000001</v>
      </c>
      <c r="B28" t="s">
        <v>100</v>
      </c>
      <c r="C28">
        <v>4.3157305254404303E-2</v>
      </c>
      <c r="D28">
        <v>0.197528002148428</v>
      </c>
      <c r="E28">
        <v>1.0607338984727399</v>
      </c>
      <c r="F28">
        <v>0.97022039874742705</v>
      </c>
      <c r="G28">
        <v>0.79911049264870004</v>
      </c>
      <c r="H28">
        <v>0.75496682277880101</v>
      </c>
      <c r="I28">
        <v>0.69417776914068396</v>
      </c>
      <c r="J28">
        <v>0.689763151981306</v>
      </c>
      <c r="K28">
        <v>0.76413854065717501</v>
      </c>
      <c r="L28">
        <v>0.784363236145462</v>
      </c>
      <c r="M28">
        <v>1.2705459469559499</v>
      </c>
      <c r="N28">
        <v>1.2132617747360399</v>
      </c>
      <c r="O28">
        <v>1.23125369443262</v>
      </c>
      <c r="P28">
        <v>1.18281658930134</v>
      </c>
      <c r="Q28">
        <v>1.15490419615881</v>
      </c>
      <c r="R28">
        <v>1.1261080763685201</v>
      </c>
      <c r="S28">
        <v>1.1621273362364399</v>
      </c>
    </row>
    <row r="29" spans="1:21" x14ac:dyDescent="0.35">
      <c r="A29">
        <v>14.327</v>
      </c>
      <c r="C29" t="s">
        <v>93</v>
      </c>
      <c r="D29">
        <v>1.3725659163157999</v>
      </c>
      <c r="E29">
        <v>0.84342983486309897</v>
      </c>
      <c r="F29">
        <v>0.77173326948053</v>
      </c>
      <c r="G29">
        <v>0.653649047984732</v>
      </c>
      <c r="H29">
        <v>0.60258136471485302</v>
      </c>
      <c r="I29">
        <v>0.51698053238033304</v>
      </c>
      <c r="J29">
        <v>0.47543488915113602</v>
      </c>
      <c r="K29">
        <v>0.40476147800100098</v>
      </c>
      <c r="L29">
        <v>0.37888519135840099</v>
      </c>
      <c r="M29">
        <v>0.32030263996008601</v>
      </c>
      <c r="N29">
        <v>0.29428550267498199</v>
      </c>
      <c r="O29">
        <v>0.27079996750902702</v>
      </c>
      <c r="P29">
        <v>0.230015377161813</v>
      </c>
      <c r="Q29">
        <v>0.21317400872523601</v>
      </c>
      <c r="R29">
        <v>0.20488971083847801</v>
      </c>
      <c r="S29">
        <v>0.212383079513842</v>
      </c>
    </row>
    <row r="30" spans="1:21" x14ac:dyDescent="0.35">
      <c r="A30">
        <v>15.852</v>
      </c>
      <c r="C30" t="s">
        <v>93</v>
      </c>
      <c r="D30">
        <v>1.1107665285166499</v>
      </c>
      <c r="E30">
        <v>0.58704096774513204</v>
      </c>
      <c r="F30">
        <v>0.53524115583529797</v>
      </c>
      <c r="G30">
        <v>0.437001327934676</v>
      </c>
      <c r="H30">
        <v>0.40588275801509199</v>
      </c>
      <c r="I30">
        <v>0.34164475572498199</v>
      </c>
      <c r="J30">
        <v>0.324184656173307</v>
      </c>
      <c r="K30">
        <v>0.27654959114949801</v>
      </c>
      <c r="L30">
        <v>0.27278662612966598</v>
      </c>
      <c r="M30">
        <v>0.23650938257183801</v>
      </c>
      <c r="N30">
        <v>0.22380910747945101</v>
      </c>
      <c r="O30">
        <v>0.22781250803240599</v>
      </c>
      <c r="P30">
        <v>0.217012674234455</v>
      </c>
      <c r="Q30">
        <v>0.21076545435748401</v>
      </c>
      <c r="R30">
        <v>0.20431375218532</v>
      </c>
      <c r="S30">
        <v>0.212383079513842</v>
      </c>
    </row>
    <row r="31" spans="1:21" x14ac:dyDescent="0.35">
      <c r="A31">
        <v>18.902999999999999</v>
      </c>
    </row>
    <row r="32" spans="1:21" x14ac:dyDescent="0.35">
      <c r="A32">
        <v>20.344999999999999</v>
      </c>
    </row>
    <row r="33" spans="1:1" x14ac:dyDescent="0.35">
      <c r="A33">
        <v>23.228999999999999</v>
      </c>
    </row>
    <row r="34" spans="1:1" x14ac:dyDescent="0.35">
      <c r="A34">
        <v>25.66</v>
      </c>
    </row>
    <row r="35" spans="1:1" x14ac:dyDescent="0.35">
      <c r="A35">
        <v>28.091000000000001</v>
      </c>
    </row>
    <row r="36" spans="1:1" x14ac:dyDescent="0.35">
      <c r="A36">
        <v>33.950000000000003</v>
      </c>
    </row>
    <row r="37" spans="1:1" x14ac:dyDescent="0.35">
      <c r="A37">
        <v>37.64</v>
      </c>
    </row>
    <row r="38" spans="1:1" x14ac:dyDescent="0.35">
      <c r="A38">
        <v>39.28</v>
      </c>
    </row>
    <row r="39" spans="1:1" x14ac:dyDescent="0.35">
      <c r="A39">
        <v>40.1</v>
      </c>
    </row>
  </sheetData>
  <mergeCells count="8">
    <mergeCell ref="S18:S19"/>
    <mergeCell ref="T18:T19"/>
    <mergeCell ref="U18:U19"/>
    <mergeCell ref="S13:U13"/>
    <mergeCell ref="S14:S15"/>
    <mergeCell ref="S16:S17"/>
    <mergeCell ref="T16:T17"/>
    <mergeCell ref="U16:U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1ED9-5E69-4D48-A51D-F89268AF27D5}">
  <dimension ref="A2:Y33"/>
  <sheetViews>
    <sheetView topLeftCell="A9" zoomScale="85" zoomScaleNormal="85" workbookViewId="0">
      <selection activeCell="I26" sqref="I26:I33"/>
    </sheetView>
  </sheetViews>
  <sheetFormatPr defaultRowHeight="14.5" x14ac:dyDescent="0.35"/>
  <cols>
    <col min="1" max="1" width="18.1796875" bestFit="1" customWidth="1"/>
    <col min="9" max="9" width="9.7265625" bestFit="1" customWidth="1"/>
    <col min="10" max="10" width="10.54296875" bestFit="1" customWidth="1"/>
  </cols>
  <sheetData>
    <row r="2" spans="1:22" x14ac:dyDescent="0.35">
      <c r="A2" s="1" t="s">
        <v>51</v>
      </c>
      <c r="B2" s="34">
        <f>5.2</f>
        <v>5.2</v>
      </c>
      <c r="C2" s="1" t="s">
        <v>101</v>
      </c>
      <c r="D2" s="27">
        <f>(16*PI())/(3*1.3)</f>
        <v>12.888585245496586</v>
      </c>
      <c r="E2" s="1" t="s">
        <v>91</v>
      </c>
      <c r="F2" s="25">
        <f>RADIANS(10)</f>
        <v>0.17453292519943295</v>
      </c>
    </row>
    <row r="3" spans="1:22" x14ac:dyDescent="0.35">
      <c r="A3" s="1" t="s">
        <v>102</v>
      </c>
      <c r="B3" s="25">
        <f>RADIANS(10)</f>
        <v>0.17453292519943295</v>
      </c>
      <c r="D3" s="25"/>
      <c r="F3" s="25"/>
    </row>
    <row r="4" spans="1:22" x14ac:dyDescent="0.35">
      <c r="A4" s="1" t="s">
        <v>103</v>
      </c>
      <c r="B4" s="25">
        <f>13.5</f>
        <v>13.5</v>
      </c>
      <c r="C4" s="1" t="s">
        <v>104</v>
      </c>
      <c r="D4" s="25">
        <f>3</f>
        <v>3</v>
      </c>
      <c r="F4" s="25"/>
    </row>
    <row r="5" spans="1:22" x14ac:dyDescent="0.35">
      <c r="A5" s="1" t="s">
        <v>80</v>
      </c>
      <c r="B5" s="25">
        <f>(2*PI()*14.9)/60</f>
        <v>1.5603243512829306</v>
      </c>
      <c r="D5" s="25"/>
      <c r="F5" s="25"/>
    </row>
    <row r="6" spans="1:22" x14ac:dyDescent="0.35">
      <c r="A6" s="35" t="s">
        <v>105</v>
      </c>
      <c r="B6">
        <f>0.5*1.2</f>
        <v>0.6</v>
      </c>
      <c r="D6" s="25"/>
      <c r="F6" s="25"/>
    </row>
    <row r="8" spans="1:22" ht="29" x14ac:dyDescent="0.35">
      <c r="A8" s="26" t="s">
        <v>55</v>
      </c>
      <c r="B8" s="26" t="s">
        <v>106</v>
      </c>
      <c r="C8" s="26" t="s">
        <v>107</v>
      </c>
      <c r="D8" s="26" t="s">
        <v>108</v>
      </c>
      <c r="E8" s="26" t="s">
        <v>109</v>
      </c>
      <c r="F8" s="26" t="s">
        <v>110</v>
      </c>
      <c r="G8" s="26" t="s">
        <v>82</v>
      </c>
      <c r="H8" s="26" t="s">
        <v>83</v>
      </c>
      <c r="I8" s="26" t="s">
        <v>111</v>
      </c>
      <c r="J8" s="26" t="s">
        <v>112</v>
      </c>
      <c r="K8" s="26" t="s">
        <v>113</v>
      </c>
      <c r="L8" s="26" t="s">
        <v>75</v>
      </c>
      <c r="M8" s="26" t="s">
        <v>76</v>
      </c>
      <c r="N8" s="26" t="s">
        <v>114</v>
      </c>
      <c r="O8" s="26" t="s">
        <v>115</v>
      </c>
      <c r="P8" s="26" t="s">
        <v>89</v>
      </c>
      <c r="Q8" s="26" t="s">
        <v>90</v>
      </c>
      <c r="R8" s="26" t="s">
        <v>91</v>
      </c>
      <c r="S8" s="26" t="s">
        <v>116</v>
      </c>
      <c r="T8" s="26" t="s">
        <v>117</v>
      </c>
      <c r="U8" s="35" t="s">
        <v>118</v>
      </c>
    </row>
    <row r="9" spans="1:22" x14ac:dyDescent="0.35">
      <c r="A9" s="10">
        <v>1.8</v>
      </c>
      <c r="B9" s="10">
        <f>A9/45</f>
        <v>0.04</v>
      </c>
      <c r="C9" s="10">
        <f>5.2*B9</f>
        <v>0.20800000000000002</v>
      </c>
      <c r="D9" s="10">
        <f>_xlfn.ACOT(C9)</f>
        <v>1.3657204264121501</v>
      </c>
      <c r="E9" s="10">
        <f>SIN(D9/3)</f>
        <v>0.43967801145550456</v>
      </c>
      <c r="F9" s="10">
        <f>E9*E9</f>
        <v>0.19331675375746679</v>
      </c>
      <c r="G9" s="10">
        <f>D$2*A9*F9</f>
        <v>4.4848430283344101</v>
      </c>
      <c r="H9" s="10">
        <f>((2*D9)/3)-F$2</f>
        <v>0.73594735907533371</v>
      </c>
      <c r="I9" s="10">
        <f>DEGREES(H9)</f>
        <v>42.166677618815548</v>
      </c>
      <c r="J9" s="10">
        <f>ATAN(B$4/(B$5*A9))</f>
        <v>1.3656789733716781</v>
      </c>
      <c r="K9" s="10">
        <f>DEGREES(J9)*2/3</f>
        <v>52.165094229304195</v>
      </c>
      <c r="L9" s="10">
        <v>1.3</v>
      </c>
      <c r="M9" s="10">
        <v>0.01</v>
      </c>
      <c r="N9" s="10">
        <f>D$4*U9*G9*L9*SIN(J9)</f>
        <v>1953.5813347564917</v>
      </c>
      <c r="O9" s="10">
        <f>D$4*U9*G9*M9*COS(J9)</f>
        <v>3.1263800295716573</v>
      </c>
      <c r="P9" s="10">
        <f>N9-O9</f>
        <v>1950.4549547269201</v>
      </c>
      <c r="Q9" s="10">
        <f>P9*A9</f>
        <v>3510.8189185084561</v>
      </c>
      <c r="R9" s="43">
        <f>K9-I9</f>
        <v>9.9984166104886469</v>
      </c>
      <c r="S9" s="10">
        <f>A9*B$5</f>
        <v>2.8085838323092749</v>
      </c>
      <c r="T9" s="10">
        <f>((B$4*B$4)+(S9*S9))^(1/2)</f>
        <v>13.789058820061253</v>
      </c>
      <c r="U9" s="10">
        <f>B$6*T9*T9</f>
        <v>114.08288588586542</v>
      </c>
    </row>
    <row r="10" spans="1:22" x14ac:dyDescent="0.35">
      <c r="A10" s="10">
        <v>3.6</v>
      </c>
      <c r="B10" s="10">
        <f t="shared" ref="B10:B33" si="0">A10/45</f>
        <v>0.08</v>
      </c>
      <c r="C10" s="10">
        <f t="shared" ref="C10:C33" si="1">5.2*B10</f>
        <v>0.41600000000000004</v>
      </c>
      <c r="D10" s="10">
        <f t="shared" ref="D10:D33" si="2">_xlfn.ACOT(C10)</f>
        <v>1.1765733888521748</v>
      </c>
      <c r="E10" s="10">
        <f t="shared" ref="E10:E33" si="3">SIN(D10/3)</f>
        <v>0.38221409648473814</v>
      </c>
      <c r="F10" s="10">
        <f t="shared" ref="F10:F33" si="4">E10*E10</f>
        <v>0.14608761555164471</v>
      </c>
      <c r="G10" s="10">
        <f t="shared" ref="G10:G33" si="5">D$2*A10*F10</f>
        <v>6.7783056708553397</v>
      </c>
      <c r="H10" s="10">
        <f t="shared" ref="H10:H33" si="6">((2*D10)/3)-F$2</f>
        <v>0.60984933403535024</v>
      </c>
      <c r="I10" s="10">
        <f t="shared" ref="I10:I33" si="7">DEGREES(H10)</f>
        <v>34.94179297908952</v>
      </c>
      <c r="J10" s="10">
        <f t="shared" ref="J10:J33" si="8">ATAN(B$4/(B$5*A10))</f>
        <v>1.17649965748527</v>
      </c>
      <c r="K10" s="10">
        <f t="shared" ref="K10:K33" si="9">DEGREES(J10)*2/3</f>
        <v>44.938976648328605</v>
      </c>
      <c r="L10" s="10">
        <v>1.3</v>
      </c>
      <c r="M10" s="10">
        <v>0.01</v>
      </c>
      <c r="N10" s="10">
        <f t="shared" ref="N10:N33" si="10">D$4*U10*G10*L10*SIN(J10)</f>
        <v>3130.9579782571027</v>
      </c>
      <c r="O10" s="10">
        <f t="shared" ref="O10:O33" si="11">D$4*U10*G10*M10*COS(J10)</f>
        <v>10.021148669370524</v>
      </c>
      <c r="P10" s="10">
        <f t="shared" ref="P10:P33" si="12">N10-O10</f>
        <v>3120.9368295877321</v>
      </c>
      <c r="Q10" s="10">
        <f t="shared" ref="Q10:Q33" si="13">P10*A10</f>
        <v>11235.372586515836</v>
      </c>
      <c r="R10" s="43">
        <f t="shared" ref="R10:R33" si="14">K10-I10</f>
        <v>9.9971836692390852</v>
      </c>
      <c r="S10" s="10">
        <f t="shared" ref="S10:S33" si="15">A10*B$5</f>
        <v>5.6171676646185498</v>
      </c>
      <c r="T10" s="10">
        <f t="shared" ref="T10:T33" si="16">((B$4*B$4)+(S10*S10))^(1/2)</f>
        <v>14.621989350715456</v>
      </c>
      <c r="U10" s="10">
        <f t="shared" ref="U10:U33" si="17">B$6*T10*T10</f>
        <v>128.28154354346171</v>
      </c>
    </row>
    <row r="11" spans="1:22" x14ac:dyDescent="0.35">
      <c r="A11" s="10">
        <v>5.4</v>
      </c>
      <c r="B11" s="10">
        <f t="shared" si="0"/>
        <v>0.12000000000000001</v>
      </c>
      <c r="C11" s="10">
        <f t="shared" si="1"/>
        <v>0.62400000000000011</v>
      </c>
      <c r="D11" s="10">
        <f t="shared" si="2"/>
        <v>1.0129164357876479</v>
      </c>
      <c r="E11" s="10">
        <f t="shared" si="3"/>
        <v>0.33126014350961003</v>
      </c>
      <c r="F11" s="10">
        <f t="shared" si="4"/>
        <v>0.10973328267800743</v>
      </c>
      <c r="G11" s="10">
        <f t="shared" si="5"/>
        <v>7.6372565475438323</v>
      </c>
      <c r="H11" s="10">
        <f t="shared" si="6"/>
        <v>0.50074469865899895</v>
      </c>
      <c r="I11" s="10">
        <f t="shared" si="7"/>
        <v>28.690557846710853</v>
      </c>
      <c r="J11" s="10">
        <f t="shared" si="8"/>
        <v>1.0128230608097182</v>
      </c>
      <c r="K11" s="10">
        <f t="shared" si="9"/>
        <v>38.68699118527919</v>
      </c>
      <c r="L11" s="10">
        <v>1.3</v>
      </c>
      <c r="M11" s="10">
        <v>0.01</v>
      </c>
      <c r="N11" s="10">
        <f t="shared" si="10"/>
        <v>3839.3347296977363</v>
      </c>
      <c r="O11" s="10">
        <f t="shared" si="11"/>
        <v>18.432638373765066</v>
      </c>
      <c r="P11" s="10">
        <f t="shared" si="12"/>
        <v>3820.902091323971</v>
      </c>
      <c r="Q11" s="10">
        <f t="shared" si="13"/>
        <v>20632.871293149445</v>
      </c>
      <c r="R11" s="43">
        <f t="shared" si="14"/>
        <v>9.9964333385683375</v>
      </c>
      <c r="S11" s="10">
        <f t="shared" si="15"/>
        <v>8.4257514969278251</v>
      </c>
      <c r="T11" s="10">
        <f t="shared" si="16"/>
        <v>15.913619584745058</v>
      </c>
      <c r="U11" s="10">
        <f t="shared" si="17"/>
        <v>151.94597297278887</v>
      </c>
    </row>
    <row r="12" spans="1:22" x14ac:dyDescent="0.35">
      <c r="A12" s="10">
        <v>7.2</v>
      </c>
      <c r="B12" s="10">
        <f t="shared" si="0"/>
        <v>0.16</v>
      </c>
      <c r="C12" s="10">
        <f t="shared" si="1"/>
        <v>0.83200000000000007</v>
      </c>
      <c r="D12" s="10">
        <f t="shared" si="2"/>
        <v>0.87684545201026665</v>
      </c>
      <c r="E12" s="10">
        <f t="shared" si="3"/>
        <v>0.28813801626335978</v>
      </c>
      <c r="F12" s="10">
        <f t="shared" si="4"/>
        <v>8.3023516416184176E-2</v>
      </c>
      <c r="G12" s="10">
        <f t="shared" si="5"/>
        <v>7.7044008147182996</v>
      </c>
      <c r="H12" s="10">
        <f t="shared" si="6"/>
        <v>0.41003070947407816</v>
      </c>
      <c r="I12" s="10">
        <f t="shared" si="7"/>
        <v>23.493029123619497</v>
      </c>
      <c r="J12" s="10">
        <f t="shared" si="8"/>
        <v>0.87674323585047664</v>
      </c>
      <c r="K12" s="10">
        <f t="shared" si="9"/>
        <v>33.489124753916826</v>
      </c>
      <c r="L12" s="10">
        <v>1.2999000000000001</v>
      </c>
      <c r="M12" s="10">
        <v>0.01</v>
      </c>
      <c r="N12" s="10">
        <f t="shared" si="10"/>
        <v>4274.1987929304069</v>
      </c>
      <c r="O12" s="10">
        <f t="shared" si="11"/>
        <v>27.362664651469277</v>
      </c>
      <c r="P12" s="10">
        <f t="shared" si="12"/>
        <v>4246.8361282789374</v>
      </c>
      <c r="Q12" s="10">
        <f t="shared" si="13"/>
        <v>30577.220123608349</v>
      </c>
      <c r="R12" s="43">
        <f t="shared" si="14"/>
        <v>9.9960956302973294</v>
      </c>
      <c r="S12" s="10">
        <f t="shared" si="15"/>
        <v>11.2343353292371</v>
      </c>
      <c r="T12" s="10">
        <f t="shared" si="16"/>
        <v>17.563037615678699</v>
      </c>
      <c r="U12" s="10">
        <f t="shared" si="17"/>
        <v>185.07617417384694</v>
      </c>
    </row>
    <row r="13" spans="1:22" x14ac:dyDescent="0.35">
      <c r="A13" s="10">
        <v>9</v>
      </c>
      <c r="B13" s="10">
        <f t="shared" si="0"/>
        <v>0.2</v>
      </c>
      <c r="C13" s="10">
        <f t="shared" si="1"/>
        <v>1.04</v>
      </c>
      <c r="D13" s="10">
        <f t="shared" si="2"/>
        <v>0.76579283254024355</v>
      </c>
      <c r="E13" s="10">
        <f t="shared" si="3"/>
        <v>0.25250113147227027</v>
      </c>
      <c r="F13" s="10">
        <f t="shared" si="4"/>
        <v>6.3756821394776717E-2</v>
      </c>
      <c r="G13" s="10">
        <f t="shared" si="5"/>
        <v>7.3956170477563221</v>
      </c>
      <c r="H13" s="10">
        <f t="shared" si="6"/>
        <v>0.33599562982739606</v>
      </c>
      <c r="I13" s="10">
        <f t="shared" si="7"/>
        <v>19.251131523949709</v>
      </c>
      <c r="J13" s="10">
        <f t="shared" si="8"/>
        <v>0.76568896492411953</v>
      </c>
      <c r="K13" s="10">
        <f t="shared" si="9"/>
        <v>29.247164073261718</v>
      </c>
      <c r="L13" s="10">
        <v>1.2999000000000001</v>
      </c>
      <c r="M13" s="10">
        <v>0.01</v>
      </c>
      <c r="N13" s="10">
        <f t="shared" si="10"/>
        <v>4550.6135820634345</v>
      </c>
      <c r="O13" s="10">
        <f t="shared" si="11"/>
        <v>36.415279049016185</v>
      </c>
      <c r="P13" s="10">
        <f t="shared" si="12"/>
        <v>4514.1983030144183</v>
      </c>
      <c r="Q13" s="10">
        <f t="shared" si="13"/>
        <v>40627.784727129765</v>
      </c>
      <c r="R13" s="43">
        <f t="shared" si="14"/>
        <v>9.9960325493120088</v>
      </c>
      <c r="S13" s="10">
        <f t="shared" si="15"/>
        <v>14.042919161546376</v>
      </c>
      <c r="T13" s="10">
        <f t="shared" si="16"/>
        <v>19.479568233863048</v>
      </c>
      <c r="U13" s="10">
        <f t="shared" si="17"/>
        <v>227.67214714663581</v>
      </c>
    </row>
    <row r="14" spans="1:22" x14ac:dyDescent="0.35">
      <c r="A14" s="10">
        <v>10.8</v>
      </c>
      <c r="B14" s="10">
        <f t="shared" si="0"/>
        <v>0.24000000000000002</v>
      </c>
      <c r="C14" s="10">
        <f t="shared" si="1"/>
        <v>1.2480000000000002</v>
      </c>
      <c r="D14" s="10">
        <f t="shared" si="2"/>
        <v>0.67552219206460684</v>
      </c>
      <c r="E14" s="10">
        <f t="shared" si="3"/>
        <v>0.22327603533346435</v>
      </c>
      <c r="F14" s="10">
        <f t="shared" si="4"/>
        <v>4.9852187954230423E-2</v>
      </c>
      <c r="G14" s="10">
        <f t="shared" si="5"/>
        <v>6.9392610805242629</v>
      </c>
      <c r="H14" s="10">
        <f t="shared" si="6"/>
        <v>0.27581520284363825</v>
      </c>
      <c r="I14" s="10">
        <f t="shared" si="7"/>
        <v>15.803047048485174</v>
      </c>
      <c r="J14" s="10">
        <f t="shared" si="8"/>
        <v>0.6754207462119286</v>
      </c>
      <c r="K14" s="10">
        <f t="shared" si="9"/>
        <v>25.799172102346798</v>
      </c>
      <c r="L14" s="10">
        <v>1.2999000000000001</v>
      </c>
      <c r="M14" s="10">
        <v>0.01</v>
      </c>
      <c r="N14" s="10">
        <f t="shared" si="10"/>
        <v>4732.8894840353214</v>
      </c>
      <c r="O14" s="10">
        <f t="shared" si="11"/>
        <v>45.44868198397549</v>
      </c>
      <c r="P14" s="10">
        <f t="shared" si="12"/>
        <v>4687.4408020513456</v>
      </c>
      <c r="Q14" s="10">
        <f t="shared" si="13"/>
        <v>50624.360662154533</v>
      </c>
      <c r="R14" s="43">
        <f t="shared" si="14"/>
        <v>9.9961250538616238</v>
      </c>
      <c r="S14" s="10">
        <f t="shared" si="15"/>
        <v>16.85150299385565</v>
      </c>
      <c r="T14" s="10">
        <f t="shared" si="16"/>
        <v>21.592201211361616</v>
      </c>
      <c r="U14" s="10">
        <f t="shared" si="17"/>
        <v>279.73389189115562</v>
      </c>
    </row>
    <row r="15" spans="1:22" s="28" customFormat="1" x14ac:dyDescent="0.35">
      <c r="A15" s="50">
        <v>12.6</v>
      </c>
      <c r="B15" s="50">
        <f t="shared" si="0"/>
        <v>0.27999999999999997</v>
      </c>
      <c r="C15" s="50">
        <f t="shared" si="1"/>
        <v>1.456</v>
      </c>
      <c r="D15" s="50">
        <f t="shared" si="2"/>
        <v>0.6018208194601562</v>
      </c>
      <c r="E15" s="50">
        <f t="shared" si="3"/>
        <v>0.19926413559843423</v>
      </c>
      <c r="F15" s="50">
        <f t="shared" si="4"/>
        <v>3.9706195735791185E-2</v>
      </c>
      <c r="G15" s="50">
        <f t="shared" si="5"/>
        <v>6.4481342752904833</v>
      </c>
      <c r="H15" s="10">
        <f t="shared" si="6"/>
        <v>0.22668095444067118</v>
      </c>
      <c r="I15" s="50">
        <f t="shared" si="7"/>
        <v>12.987861985447756</v>
      </c>
      <c r="J15" s="50">
        <f t="shared" si="8"/>
        <v>0.6017238030146238</v>
      </c>
      <c r="K15" s="10">
        <f t="shared" si="9"/>
        <v>22.984156230199513</v>
      </c>
      <c r="L15" s="50">
        <v>1.2999000000000001</v>
      </c>
      <c r="M15" s="10">
        <v>0.01</v>
      </c>
      <c r="N15" s="10">
        <f t="shared" si="10"/>
        <v>4857.5609003860709</v>
      </c>
      <c r="O15" s="10">
        <f t="shared" si="11"/>
        <v>54.420179936903438</v>
      </c>
      <c r="P15" s="50">
        <f t="shared" si="12"/>
        <v>4803.140720449167</v>
      </c>
      <c r="Q15" s="50">
        <f t="shared" si="13"/>
        <v>60519.573077659501</v>
      </c>
      <c r="R15" s="43">
        <f t="shared" si="14"/>
        <v>9.9962942447517573</v>
      </c>
      <c r="S15" s="10">
        <f t="shared" si="15"/>
        <v>19.660086826164925</v>
      </c>
      <c r="T15" s="10">
        <f t="shared" si="16"/>
        <v>23.848878674108423</v>
      </c>
      <c r="U15" s="10">
        <f t="shared" si="17"/>
        <v>341.26140840740612</v>
      </c>
      <c r="V15"/>
    </row>
    <row r="16" spans="1:22" x14ac:dyDescent="0.35">
      <c r="A16" s="10">
        <v>14.4</v>
      </c>
      <c r="B16" s="10">
        <f t="shared" si="0"/>
        <v>0.32</v>
      </c>
      <c r="C16" s="10">
        <f t="shared" si="1"/>
        <v>1.6640000000000001</v>
      </c>
      <c r="D16" s="10">
        <f t="shared" si="2"/>
        <v>0.54112621393384819</v>
      </c>
      <c r="E16" s="10">
        <f t="shared" si="3"/>
        <v>0.17939890029380035</v>
      </c>
      <c r="F16" s="10">
        <f t="shared" si="4"/>
        <v>3.2183965426624918E-2</v>
      </c>
      <c r="G16" s="10">
        <f t="shared" si="5"/>
        <v>5.9732032599240501</v>
      </c>
      <c r="H16" s="10">
        <f t="shared" si="6"/>
        <v>0.1862178840897992</v>
      </c>
      <c r="I16" s="10">
        <f t="shared" si="7"/>
        <v>10.669498828201855</v>
      </c>
      <c r="J16" s="10">
        <f t="shared" si="8"/>
        <v>0.54103443059438272</v>
      </c>
      <c r="K16" s="10">
        <f t="shared" si="9"/>
        <v>20.665992962881194</v>
      </c>
      <c r="L16" s="10">
        <v>1.2998000000000001</v>
      </c>
      <c r="M16" s="10">
        <v>0.01</v>
      </c>
      <c r="N16" s="10">
        <f t="shared" si="10"/>
        <v>4945.3528121957561</v>
      </c>
      <c r="O16" s="10">
        <f t="shared" si="11"/>
        <v>63.323419344962275</v>
      </c>
      <c r="P16" s="10">
        <f t="shared" si="12"/>
        <v>4882.0293928507936</v>
      </c>
      <c r="Q16" s="10">
        <f t="shared" si="13"/>
        <v>70301.223257051432</v>
      </c>
      <c r="R16" s="43">
        <f t="shared" si="14"/>
        <v>9.9964941346793399</v>
      </c>
      <c r="S16" s="10">
        <f t="shared" si="15"/>
        <v>22.468670658474199</v>
      </c>
      <c r="T16" s="10">
        <f t="shared" si="16"/>
        <v>26.212423794051922</v>
      </c>
      <c r="U16" s="10">
        <f t="shared" si="17"/>
        <v>412.25469669538762</v>
      </c>
    </row>
    <row r="17" spans="1:25" x14ac:dyDescent="0.35">
      <c r="A17" s="10">
        <v>16.2</v>
      </c>
      <c r="B17" s="10">
        <f t="shared" si="0"/>
        <v>0.36</v>
      </c>
      <c r="C17" s="10">
        <f t="shared" si="1"/>
        <v>1.8719999999999999</v>
      </c>
      <c r="D17" s="10">
        <f t="shared" si="2"/>
        <v>0.49062251462568496</v>
      </c>
      <c r="E17" s="10">
        <f t="shared" si="3"/>
        <v>0.16281281266759845</v>
      </c>
      <c r="F17" s="10">
        <f t="shared" si="4"/>
        <v>2.6508011968734507E-2</v>
      </c>
      <c r="G17" s="10">
        <f t="shared" si="5"/>
        <v>5.5347425055523907</v>
      </c>
      <c r="H17" s="10">
        <f t="shared" si="6"/>
        <v>0.15254875121769038</v>
      </c>
      <c r="I17" s="10">
        <f t="shared" si="7"/>
        <v>8.7403996147648364</v>
      </c>
      <c r="J17" s="10">
        <f t="shared" si="8"/>
        <v>0.49053611910771605</v>
      </c>
      <c r="K17" s="10">
        <f t="shared" si="9"/>
        <v>18.737099549065857</v>
      </c>
      <c r="L17" s="10">
        <v>1.2997000000000001</v>
      </c>
      <c r="M17" s="10">
        <v>0.01</v>
      </c>
      <c r="N17" s="10">
        <f t="shared" si="10"/>
        <v>5009.201849669309</v>
      </c>
      <c r="O17" s="10">
        <f t="shared" si="11"/>
        <v>72.164157512015279</v>
      </c>
      <c r="P17" s="10">
        <f t="shared" si="12"/>
        <v>4937.0376921572933</v>
      </c>
      <c r="Q17" s="10">
        <f t="shared" si="13"/>
        <v>79980.010612948143</v>
      </c>
      <c r="R17" s="43">
        <f t="shared" si="14"/>
        <v>9.9966999343010201</v>
      </c>
      <c r="S17" s="10">
        <f t="shared" si="15"/>
        <v>25.277254490783474</v>
      </c>
      <c r="T17" s="10">
        <f t="shared" si="16"/>
        <v>28.65640582124411</v>
      </c>
      <c r="U17" s="10">
        <f t="shared" si="17"/>
        <v>492.71375675510001</v>
      </c>
    </row>
    <row r="18" spans="1:25" x14ac:dyDescent="0.35">
      <c r="A18" s="10">
        <v>18</v>
      </c>
      <c r="B18" s="10">
        <f t="shared" si="0"/>
        <v>0.4</v>
      </c>
      <c r="C18" s="10">
        <f t="shared" si="1"/>
        <v>2.08</v>
      </c>
      <c r="D18" s="10">
        <f t="shared" si="2"/>
        <v>0.44814497507578965</v>
      </c>
      <c r="E18" s="10">
        <f t="shared" si="3"/>
        <v>0.14882670561269298</v>
      </c>
      <c r="F18" s="10">
        <f t="shared" si="4"/>
        <v>2.2149388303527182E-2</v>
      </c>
      <c r="G18" s="10">
        <f t="shared" si="5"/>
        <v>5.1385370271410711</v>
      </c>
      <c r="H18" s="10">
        <f t="shared" si="6"/>
        <v>0.12423039151776014</v>
      </c>
      <c r="I18" s="10">
        <f t="shared" si="7"/>
        <v>7.1178771212254768</v>
      </c>
      <c r="J18" s="10">
        <f t="shared" si="8"/>
        <v>0.44806379541365271</v>
      </c>
      <c r="K18" s="10">
        <f t="shared" si="9"/>
        <v>17.114776286543648</v>
      </c>
      <c r="L18" s="10">
        <v>1.2994000000000001</v>
      </c>
      <c r="M18" s="10">
        <v>0.01</v>
      </c>
      <c r="N18" s="10">
        <f t="shared" si="10"/>
        <v>5056.0647095376371</v>
      </c>
      <c r="O18" s="10">
        <f t="shared" si="11"/>
        <v>80.951217361385574</v>
      </c>
      <c r="P18" s="10">
        <f t="shared" si="12"/>
        <v>4975.1134921762514</v>
      </c>
      <c r="Q18" s="10">
        <f t="shared" si="13"/>
        <v>89552.042859172521</v>
      </c>
      <c r="R18" s="43">
        <f t="shared" si="14"/>
        <v>9.9968991653181725</v>
      </c>
      <c r="S18" s="10">
        <f t="shared" si="15"/>
        <v>28.085838323092752</v>
      </c>
      <c r="T18" s="10">
        <f t="shared" si="16"/>
        <v>31.161904856906702</v>
      </c>
      <c r="U18" s="10">
        <f t="shared" si="17"/>
        <v>582.63858858654328</v>
      </c>
    </row>
    <row r="19" spans="1:25" x14ac:dyDescent="0.35">
      <c r="A19" s="10">
        <v>19.8</v>
      </c>
      <c r="B19" s="10">
        <f t="shared" si="0"/>
        <v>0.44</v>
      </c>
      <c r="C19" s="10">
        <f t="shared" si="1"/>
        <v>2.2880000000000003</v>
      </c>
      <c r="D19" s="10">
        <f t="shared" si="2"/>
        <v>0.41204353645883401</v>
      </c>
      <c r="E19" s="10">
        <f t="shared" si="3"/>
        <v>0.13691642113156199</v>
      </c>
      <c r="F19" s="10">
        <f t="shared" si="4"/>
        <v>1.8746106375475236E-2</v>
      </c>
      <c r="G19" s="10">
        <f t="shared" si="5"/>
        <v>4.7838936428209005</v>
      </c>
      <c r="H19" s="10">
        <f t="shared" si="6"/>
        <v>0.10016276577312308</v>
      </c>
      <c r="I19" s="10">
        <f t="shared" si="7"/>
        <v>5.7389037431573691</v>
      </c>
      <c r="J19" s="10">
        <f t="shared" si="8"/>
        <v>0.4119672515422797</v>
      </c>
      <c r="K19" s="10">
        <f t="shared" si="9"/>
        <v>15.735989873984655</v>
      </c>
      <c r="L19" s="10">
        <v>1.2989999999999999</v>
      </c>
      <c r="M19" s="10">
        <v>0.01</v>
      </c>
      <c r="N19" s="10">
        <f t="shared" si="10"/>
        <v>5091.2309377187603</v>
      </c>
      <c r="O19" s="10">
        <f t="shared" si="11"/>
        <v>89.693289927024622</v>
      </c>
      <c r="P19" s="10">
        <f t="shared" si="12"/>
        <v>5001.5376477917353</v>
      </c>
      <c r="Q19" s="10">
        <f t="shared" si="13"/>
        <v>99030.445426276361</v>
      </c>
      <c r="R19" s="43">
        <f t="shared" si="14"/>
        <v>9.9970861308272863</v>
      </c>
      <c r="S19" s="10">
        <f t="shared" si="15"/>
        <v>30.894422155402026</v>
      </c>
      <c r="T19" s="10">
        <f t="shared" si="16"/>
        <v>33.715209035629535</v>
      </c>
      <c r="U19" s="10">
        <f t="shared" si="17"/>
        <v>682.02919218971726</v>
      </c>
    </row>
    <row r="20" spans="1:25" x14ac:dyDescent="0.35">
      <c r="A20" s="10">
        <v>21.6</v>
      </c>
      <c r="B20" s="10">
        <f t="shared" si="0"/>
        <v>0.48000000000000004</v>
      </c>
      <c r="C20" s="10">
        <f t="shared" si="1"/>
        <v>2.4960000000000004</v>
      </c>
      <c r="D20" s="10">
        <f t="shared" si="2"/>
        <v>0.38105886324399629</v>
      </c>
      <c r="E20" s="10">
        <f t="shared" si="3"/>
        <v>0.12667834108267784</v>
      </c>
      <c r="F20" s="10">
        <f t="shared" si="4"/>
        <v>1.6047402099459263E-2</v>
      </c>
      <c r="G20" s="10">
        <f t="shared" si="5"/>
        <v>4.4674914944370583</v>
      </c>
      <c r="H20" s="10">
        <f t="shared" si="6"/>
        <v>7.9506316963231266E-2</v>
      </c>
      <c r="I20" s="10">
        <f t="shared" si="7"/>
        <v>4.5553764066225355</v>
      </c>
      <c r="J20" s="10">
        <f t="shared" si="8"/>
        <v>0.38098709727677871</v>
      </c>
      <c r="K20" s="10">
        <f t="shared" si="9"/>
        <v>14.552635148599705</v>
      </c>
      <c r="L20" s="10">
        <v>1.2983</v>
      </c>
      <c r="M20" s="10">
        <v>0.01</v>
      </c>
      <c r="N20" s="10">
        <f t="shared" si="10"/>
        <v>5117.1278171128261</v>
      </c>
      <c r="O20" s="10">
        <f t="shared" si="11"/>
        <v>98.397955993756867</v>
      </c>
      <c r="P20" s="10">
        <f t="shared" si="12"/>
        <v>5018.729861119069</v>
      </c>
      <c r="Q20" s="10">
        <f t="shared" si="13"/>
        <v>108404.5650001719</v>
      </c>
      <c r="R20" s="43">
        <f t="shared" si="14"/>
        <v>9.9972587419771699</v>
      </c>
      <c r="S20" s="10">
        <f t="shared" si="15"/>
        <v>33.7030059877113</v>
      </c>
      <c r="T20" s="10">
        <f t="shared" si="16"/>
        <v>36.306233798174439</v>
      </c>
      <c r="U20" s="10">
        <f t="shared" si="17"/>
        <v>790.88556756462231</v>
      </c>
    </row>
    <row r="21" spans="1:25" x14ac:dyDescent="0.35">
      <c r="A21" s="10">
        <v>23.4</v>
      </c>
      <c r="B21" s="10">
        <f t="shared" si="0"/>
        <v>0.52</v>
      </c>
      <c r="C21" s="10">
        <f t="shared" si="1"/>
        <v>2.7040000000000002</v>
      </c>
      <c r="D21" s="10">
        <f t="shared" si="2"/>
        <v>0.35422377078378303</v>
      </c>
      <c r="E21" s="10">
        <f t="shared" si="3"/>
        <v>0.11780042315519587</v>
      </c>
      <c r="F21" s="10">
        <f t="shared" si="4"/>
        <v>1.3876939695543208E-2</v>
      </c>
      <c r="G21" s="10">
        <f t="shared" si="5"/>
        <v>4.1851864129754031</v>
      </c>
      <c r="H21" s="10">
        <f t="shared" si="6"/>
        <v>6.1616255323089064E-2</v>
      </c>
      <c r="I21" s="10">
        <f t="shared" si="7"/>
        <v>3.5303513794134962</v>
      </c>
      <c r="J21" s="10">
        <f t="shared" si="8"/>
        <v>0.35415614180776706</v>
      </c>
      <c r="K21" s="10">
        <f t="shared" si="9"/>
        <v>13.527768142814493</v>
      </c>
      <c r="L21" s="10">
        <v>1.2971999999999999</v>
      </c>
      <c r="M21" s="10">
        <v>0.01</v>
      </c>
      <c r="N21" s="10">
        <f t="shared" si="10"/>
        <v>5135.5143984303395</v>
      </c>
      <c r="O21" s="10">
        <f t="shared" si="11"/>
        <v>107.07152455448102</v>
      </c>
      <c r="P21" s="10">
        <f t="shared" si="12"/>
        <v>5028.4428738758588</v>
      </c>
      <c r="Q21" s="10">
        <f t="shared" si="13"/>
        <v>117665.56324869509</v>
      </c>
      <c r="R21" s="43">
        <f t="shared" si="14"/>
        <v>9.9974167634009969</v>
      </c>
      <c r="S21" s="10">
        <f t="shared" si="15"/>
        <v>36.511589820020575</v>
      </c>
      <c r="T21" s="10">
        <f t="shared" si="16"/>
        <v>38.927447786689406</v>
      </c>
      <c r="U21" s="10">
        <f t="shared" si="17"/>
        <v>909.20771471125795</v>
      </c>
    </row>
    <row r="22" spans="1:25" x14ac:dyDescent="0.35">
      <c r="A22" s="10">
        <v>25.2</v>
      </c>
      <c r="B22" s="10">
        <f t="shared" si="0"/>
        <v>0.55999999999999994</v>
      </c>
      <c r="C22" s="10">
        <f t="shared" si="1"/>
        <v>2.9119999999999999</v>
      </c>
      <c r="D22" s="10">
        <f t="shared" si="2"/>
        <v>0.33078892782336633</v>
      </c>
      <c r="E22" s="10">
        <f t="shared" si="3"/>
        <v>0.11003968357852324</v>
      </c>
      <c r="F22" s="10">
        <f t="shared" si="4"/>
        <v>1.2108731962061518E-2</v>
      </c>
      <c r="G22" s="10">
        <f t="shared" si="5"/>
        <v>3.9328234875190549</v>
      </c>
      <c r="H22" s="10">
        <f t="shared" si="6"/>
        <v>4.5993026682811272E-2</v>
      </c>
      <c r="I22" s="10">
        <f t="shared" si="7"/>
        <v>2.6352063159576669</v>
      </c>
      <c r="J22" s="10">
        <f t="shared" si="8"/>
        <v>0.33072507133707635</v>
      </c>
      <c r="K22" s="10">
        <f t="shared" si="9"/>
        <v>12.632767177851699</v>
      </c>
      <c r="L22" s="10">
        <v>1.2954000000000001</v>
      </c>
      <c r="M22" s="10">
        <v>0.01</v>
      </c>
      <c r="N22" s="10">
        <f t="shared" si="10"/>
        <v>5146.6834782347842</v>
      </c>
      <c r="O22" s="10">
        <f t="shared" si="11"/>
        <v>115.71914758076653</v>
      </c>
      <c r="P22" s="10">
        <f t="shared" si="12"/>
        <v>5030.9643306540174</v>
      </c>
      <c r="Q22" s="10">
        <f t="shared" si="13"/>
        <v>126780.30113248124</v>
      </c>
      <c r="R22" s="43">
        <f t="shared" si="14"/>
        <v>9.9975608618940317</v>
      </c>
      <c r="S22" s="10">
        <f t="shared" si="15"/>
        <v>39.320173652329849</v>
      </c>
      <c r="T22" s="10">
        <f t="shared" si="16"/>
        <v>41.573141041414885</v>
      </c>
      <c r="U22" s="10">
        <f t="shared" si="17"/>
        <v>1036.9956336296248</v>
      </c>
    </row>
    <row r="23" spans="1:25" x14ac:dyDescent="0.35">
      <c r="A23" s="10">
        <v>27</v>
      </c>
      <c r="B23" s="10">
        <f t="shared" si="0"/>
        <v>0.6</v>
      </c>
      <c r="C23" s="10">
        <f t="shared" si="1"/>
        <v>3.12</v>
      </c>
      <c r="D23" s="10">
        <f t="shared" si="2"/>
        <v>0.31016806078798592</v>
      </c>
      <c r="E23" s="10">
        <f t="shared" si="3"/>
        <v>0.10320525770703419</v>
      </c>
      <c r="F23" s="10">
        <f t="shared" si="4"/>
        <v>1.065132521837534E-2</v>
      </c>
      <c r="G23" s="10">
        <f t="shared" si="5"/>
        <v>3.7065738524725287</v>
      </c>
      <c r="H23" s="10">
        <f t="shared" si="6"/>
        <v>3.2245781992557676E-2</v>
      </c>
      <c r="I23" s="10">
        <f t="shared" si="7"/>
        <v>1.847547215272505</v>
      </c>
      <c r="J23" s="10">
        <f t="shared" si="8"/>
        <v>0.31010764005870295</v>
      </c>
      <c r="K23" s="10">
        <f t="shared" si="9"/>
        <v>11.84523931341716</v>
      </c>
      <c r="L23" s="10">
        <v>1.2926</v>
      </c>
      <c r="M23" s="10">
        <v>0.01</v>
      </c>
      <c r="N23" s="10">
        <f t="shared" si="10"/>
        <v>5150.4789578759001</v>
      </c>
      <c r="O23" s="10">
        <f t="shared" si="11"/>
        <v>124.3450060149172</v>
      </c>
      <c r="P23" s="10">
        <f t="shared" si="12"/>
        <v>5026.133951860983</v>
      </c>
      <c r="Q23" s="10">
        <f t="shared" si="13"/>
        <v>135705.61670024655</v>
      </c>
      <c r="R23" s="43">
        <f t="shared" si="14"/>
        <v>9.9976920981446558</v>
      </c>
      <c r="S23" s="10">
        <f t="shared" si="15"/>
        <v>42.128757484639124</v>
      </c>
      <c r="T23" s="10">
        <f t="shared" si="16"/>
        <v>44.23892185846686</v>
      </c>
      <c r="U23" s="10">
        <f t="shared" si="17"/>
        <v>1174.2493243197221</v>
      </c>
    </row>
    <row r="24" spans="1:25" x14ac:dyDescent="0.35">
      <c r="A24" s="10">
        <v>28.8</v>
      </c>
      <c r="B24" s="10">
        <f t="shared" si="0"/>
        <v>0.64</v>
      </c>
      <c r="C24" s="10">
        <f t="shared" si="1"/>
        <v>3.3280000000000003</v>
      </c>
      <c r="D24" s="10">
        <f t="shared" si="2"/>
        <v>0.29189780878224142</v>
      </c>
      <c r="E24" s="10">
        <f t="shared" si="3"/>
        <v>9.7145817820914845E-2</v>
      </c>
      <c r="F24" s="10">
        <f t="shared" si="4"/>
        <v>9.4373099200943771E-3</v>
      </c>
      <c r="G24" s="10">
        <f t="shared" si="5"/>
        <v>3.5030469137272404</v>
      </c>
      <c r="H24" s="10">
        <f t="shared" si="6"/>
        <v>2.0065613988727998E-2</v>
      </c>
      <c r="I24" s="10">
        <f t="shared" si="7"/>
        <v>1.1496749948927798</v>
      </c>
      <c r="J24" s="10">
        <f t="shared" si="8"/>
        <v>0.29184051818051199</v>
      </c>
      <c r="K24" s="10">
        <f t="shared" si="9"/>
        <v>11.147486655102872</v>
      </c>
      <c r="L24" s="10">
        <v>1.288</v>
      </c>
      <c r="M24" s="10">
        <v>0.01</v>
      </c>
      <c r="N24" s="10">
        <f t="shared" si="10"/>
        <v>5144.4475394718484</v>
      </c>
      <c r="O24" s="10">
        <f t="shared" si="11"/>
        <v>132.95249308050481</v>
      </c>
      <c r="P24" s="10">
        <f t="shared" si="12"/>
        <v>5011.4950463913437</v>
      </c>
      <c r="Q24" s="10">
        <f t="shared" si="13"/>
        <v>144331.05733607069</v>
      </c>
      <c r="R24" s="43">
        <f t="shared" si="14"/>
        <v>9.9978116602100933</v>
      </c>
      <c r="S24" s="10">
        <f t="shared" si="15"/>
        <v>44.937341316948398</v>
      </c>
      <c r="T24" s="10">
        <f t="shared" si="16"/>
        <v>46.921366610915307</v>
      </c>
      <c r="U24" s="10">
        <f t="shared" si="17"/>
        <v>1320.9687867815508</v>
      </c>
    </row>
    <row r="25" spans="1:25" x14ac:dyDescent="0.35">
      <c r="A25" s="10">
        <v>30.6</v>
      </c>
      <c r="B25" s="10">
        <f t="shared" si="0"/>
        <v>0.68</v>
      </c>
      <c r="C25" s="10">
        <f t="shared" si="1"/>
        <v>3.5360000000000005</v>
      </c>
      <c r="D25" s="10">
        <f t="shared" si="2"/>
        <v>0.27560827794368981</v>
      </c>
      <c r="E25" s="10">
        <f t="shared" si="3"/>
        <v>9.1740250977082494E-2</v>
      </c>
      <c r="F25" s="10">
        <f t="shared" si="4"/>
        <v>8.4162736493380852E-3</v>
      </c>
      <c r="G25" s="10">
        <f t="shared" si="5"/>
        <v>3.319300127594969</v>
      </c>
      <c r="H25" s="10">
        <f t="shared" si="6"/>
        <v>9.2059267630269226E-3</v>
      </c>
      <c r="I25" s="10">
        <f t="shared" si="7"/>
        <v>0.52746075002797421</v>
      </c>
      <c r="J25" s="10">
        <f t="shared" si="8"/>
        <v>0.27555384273558348</v>
      </c>
      <c r="K25" s="10">
        <f t="shared" si="9"/>
        <v>10.525381478240368</v>
      </c>
      <c r="L25" s="10">
        <v>1.2806</v>
      </c>
      <c r="M25" s="10">
        <v>0.01</v>
      </c>
      <c r="N25" s="10">
        <f t="shared" si="10"/>
        <v>5125.1143423468884</v>
      </c>
      <c r="O25" s="10">
        <f t="shared" si="11"/>
        <v>141.54437200796013</v>
      </c>
      <c r="P25" s="10">
        <f t="shared" si="12"/>
        <v>4983.5699703389282</v>
      </c>
      <c r="Q25" s="10">
        <f t="shared" si="13"/>
        <v>152497.2410923712</v>
      </c>
      <c r="R25" s="43">
        <f t="shared" si="14"/>
        <v>9.9979207282123941</v>
      </c>
      <c r="S25" s="10">
        <f t="shared" si="15"/>
        <v>47.74592514925768</v>
      </c>
      <c r="T25" s="10">
        <f t="shared" si="16"/>
        <v>49.61777270654656</v>
      </c>
      <c r="U25" s="10">
        <f t="shared" si="17"/>
        <v>1477.1540210151099</v>
      </c>
    </row>
    <row r="26" spans="1:25" x14ac:dyDescent="0.35">
      <c r="A26" s="10">
        <v>32.4</v>
      </c>
      <c r="B26" s="10">
        <f t="shared" si="0"/>
        <v>0.72</v>
      </c>
      <c r="C26" s="10">
        <f t="shared" si="1"/>
        <v>3.7439999999999998</v>
      </c>
      <c r="D26" s="10">
        <f t="shared" si="2"/>
        <v>0.26100132789639019</v>
      </c>
      <c r="E26" s="10">
        <f t="shared" si="3"/>
        <v>8.6890731985628883E-2</v>
      </c>
      <c r="F26" s="10">
        <f t="shared" si="4"/>
        <v>7.5499993049983902E-3</v>
      </c>
      <c r="G26" s="10">
        <f t="shared" si="5"/>
        <v>3.1528054325275399</v>
      </c>
      <c r="H26" s="10">
        <f t="shared" si="6"/>
        <v>-5.3203993517281223E-4</v>
      </c>
      <c r="I26" s="10">
        <f t="shared" si="7"/>
        <v>-3.0483642817816063E-2</v>
      </c>
      <c r="J26" s="10">
        <f t="shared" si="8"/>
        <v>0.26094950234836095</v>
      </c>
      <c r="K26" s="10">
        <f t="shared" si="9"/>
        <v>9.9675367670668304</v>
      </c>
      <c r="L26" s="10">
        <v>1.2688999999999999</v>
      </c>
      <c r="M26" s="10">
        <v>0.01</v>
      </c>
      <c r="N26" s="10">
        <f t="shared" si="10"/>
        <v>5086.841755351842</v>
      </c>
      <c r="O26" s="10">
        <f t="shared" si="11"/>
        <v>150.12290447470949</v>
      </c>
      <c r="P26" s="10">
        <f t="shared" si="12"/>
        <v>4936.7188508771324</v>
      </c>
      <c r="Q26" s="10">
        <f t="shared" si="13"/>
        <v>159949.6907684191</v>
      </c>
      <c r="R26" s="43">
        <f t="shared" si="14"/>
        <v>9.9980204098846457</v>
      </c>
      <c r="S26" s="10">
        <f t="shared" si="15"/>
        <v>50.554508981566947</v>
      </c>
      <c r="T26" s="10">
        <f t="shared" si="16"/>
        <v>52.325981867207545</v>
      </c>
      <c r="U26" s="10">
        <f t="shared" si="17"/>
        <v>1642.8050270203996</v>
      </c>
    </row>
    <row r="27" spans="1:25" x14ac:dyDescent="0.35">
      <c r="A27" s="10">
        <v>34.200000000000003</v>
      </c>
      <c r="B27" s="10">
        <f t="shared" si="0"/>
        <v>0.76</v>
      </c>
      <c r="C27" s="10">
        <f t="shared" si="1"/>
        <v>3.9520000000000004</v>
      </c>
      <c r="D27" s="10">
        <f t="shared" si="2"/>
        <v>0.24783443832395469</v>
      </c>
      <c r="E27" s="10">
        <f t="shared" si="3"/>
        <v>8.2517545671488099E-2</v>
      </c>
      <c r="F27" s="10">
        <f t="shared" si="4"/>
        <v>6.8091453436461245E-3</v>
      </c>
      <c r="G27" s="10">
        <f t="shared" si="5"/>
        <v>3.0014005572011255</v>
      </c>
      <c r="H27" s="10">
        <f t="shared" si="6"/>
        <v>-9.3099663167964808E-3</v>
      </c>
      <c r="I27" s="10">
        <f t="shared" si="7"/>
        <v>-0.53342177736139429</v>
      </c>
      <c r="J27" s="10">
        <f t="shared" si="8"/>
        <v>0.24778500311178098</v>
      </c>
      <c r="K27" s="10">
        <f t="shared" si="9"/>
        <v>9.4646899366273463</v>
      </c>
      <c r="L27" s="10">
        <v>1.25</v>
      </c>
      <c r="M27" s="10">
        <v>0.01</v>
      </c>
      <c r="N27" s="10">
        <f t="shared" si="10"/>
        <v>5018.2491489770628</v>
      </c>
      <c r="O27" s="10">
        <f t="shared" si="11"/>
        <v>158.68995265186277</v>
      </c>
      <c r="P27" s="10">
        <f t="shared" si="12"/>
        <v>4859.5591963252</v>
      </c>
      <c r="Q27" s="10">
        <f t="shared" si="13"/>
        <v>166196.92451432184</v>
      </c>
      <c r="R27" s="43">
        <f t="shared" si="14"/>
        <v>9.9981117139887399</v>
      </c>
      <c r="S27" s="10">
        <f t="shared" si="15"/>
        <v>53.363092813876229</v>
      </c>
      <c r="T27" s="10">
        <f t="shared" si="16"/>
        <v>55.044251967506732</v>
      </c>
      <c r="U27" s="10">
        <f t="shared" si="17"/>
        <v>1817.9218047974211</v>
      </c>
    </row>
    <row r="28" spans="1:25" x14ac:dyDescent="0.35">
      <c r="A28" s="10">
        <v>36</v>
      </c>
      <c r="B28" s="10">
        <f t="shared" si="0"/>
        <v>0.8</v>
      </c>
      <c r="C28" s="10">
        <f t="shared" si="1"/>
        <v>4.16</v>
      </c>
      <c r="D28" s="10">
        <f t="shared" si="2"/>
        <v>0.23590861706847163</v>
      </c>
      <c r="E28" s="10">
        <f t="shared" si="3"/>
        <v>7.8555187576766841E-2</v>
      </c>
      <c r="F28" s="10">
        <f t="shared" si="4"/>
        <v>6.1709174952210236E-3</v>
      </c>
      <c r="G28" s="10">
        <f t="shared" si="5"/>
        <v>2.8632382624829678</v>
      </c>
      <c r="H28" s="10">
        <f t="shared" si="6"/>
        <v>-1.726051382045185E-2</v>
      </c>
      <c r="I28" s="10">
        <f t="shared" si="7"/>
        <v>-0.98895459413911946</v>
      </c>
      <c r="J28" s="10">
        <f t="shared" si="8"/>
        <v>0.23586137650952577</v>
      </c>
      <c r="K28" s="10">
        <f t="shared" si="9"/>
        <v>9.0092409494279213</v>
      </c>
      <c r="L28" s="10">
        <v>1.2199599999999999</v>
      </c>
      <c r="M28" s="10">
        <v>0.01</v>
      </c>
      <c r="N28" s="10">
        <f t="shared" si="10"/>
        <v>4903.6612755104479</v>
      </c>
      <c r="O28" s="10">
        <f t="shared" si="11"/>
        <v>167.24705943631088</v>
      </c>
      <c r="P28" s="10">
        <f t="shared" si="12"/>
        <v>4736.4142160741367</v>
      </c>
      <c r="Q28" s="10">
        <f t="shared" si="13"/>
        <v>170510.91177866893</v>
      </c>
      <c r="R28" s="43">
        <f t="shared" si="14"/>
        <v>9.9981955435670411</v>
      </c>
      <c r="S28" s="10">
        <f t="shared" si="15"/>
        <v>56.171676646185503</v>
      </c>
      <c r="T28" s="10">
        <f t="shared" si="16"/>
        <v>57.771162851751754</v>
      </c>
      <c r="U28" s="10">
        <f t="shared" si="17"/>
        <v>2002.5043543461732</v>
      </c>
      <c r="W28" s="115" t="s">
        <v>94</v>
      </c>
      <c r="X28" s="115"/>
      <c r="Y28" s="115"/>
    </row>
    <row r="29" spans="1:25" x14ac:dyDescent="0.35">
      <c r="A29" s="10">
        <v>37.799999999999997</v>
      </c>
      <c r="B29" s="10">
        <f t="shared" si="0"/>
        <v>0.84</v>
      </c>
      <c r="C29" s="10">
        <f t="shared" si="1"/>
        <v>4.3680000000000003</v>
      </c>
      <c r="D29" s="10">
        <f t="shared" si="2"/>
        <v>0.22505925393017154</v>
      </c>
      <c r="E29" s="10">
        <f t="shared" si="3"/>
        <v>7.4949403043657575E-2</v>
      </c>
      <c r="F29" s="10">
        <f t="shared" si="4"/>
        <v>5.617413016600627E-3</v>
      </c>
      <c r="G29" s="10">
        <f t="shared" si="5"/>
        <v>2.7367391465928095</v>
      </c>
      <c r="H29" s="10">
        <f t="shared" si="6"/>
        <v>-2.449342257931858E-2</v>
      </c>
      <c r="I29" s="10">
        <f t="shared" si="7"/>
        <v>-1.4033697396253895</v>
      </c>
      <c r="J29" s="10">
        <f t="shared" si="8"/>
        <v>0.22501403330014791</v>
      </c>
      <c r="K29" s="10">
        <f t="shared" si="9"/>
        <v>8.5949029595430932</v>
      </c>
      <c r="L29" s="10">
        <v>1.171</v>
      </c>
      <c r="M29" s="10">
        <v>0.01</v>
      </c>
      <c r="N29" s="10">
        <f t="shared" si="10"/>
        <v>4711.8532851628443</v>
      </c>
      <c r="O29" s="10">
        <f t="shared" si="11"/>
        <v>175.79551133589896</v>
      </c>
      <c r="P29" s="10">
        <f t="shared" si="12"/>
        <v>4536.0577738269449</v>
      </c>
      <c r="Q29" s="10">
        <f t="shared" si="13"/>
        <v>171462.98385065849</v>
      </c>
      <c r="R29" s="43">
        <f t="shared" si="14"/>
        <v>9.9982726991684832</v>
      </c>
      <c r="S29" s="10">
        <f t="shared" si="15"/>
        <v>58.98026047849477</v>
      </c>
      <c r="T29" s="10">
        <f t="shared" si="16"/>
        <v>60.505546242564343</v>
      </c>
      <c r="U29" s="10">
        <f t="shared" si="17"/>
        <v>2196.552675666655</v>
      </c>
      <c r="W29" s="116" t="s">
        <v>95</v>
      </c>
      <c r="X29" s="33">
        <f>SUM(Q9:Q33)</f>
        <v>2440615.7284184257</v>
      </c>
      <c r="Y29" s="33"/>
    </row>
    <row r="30" spans="1:25" x14ac:dyDescent="0.35">
      <c r="A30" s="10">
        <v>39.6</v>
      </c>
      <c r="B30" s="10">
        <f t="shared" si="0"/>
        <v>0.88</v>
      </c>
      <c r="C30" s="10">
        <f t="shared" si="1"/>
        <v>4.5760000000000005</v>
      </c>
      <c r="D30" s="10">
        <f t="shared" si="2"/>
        <v>0.21514913825334558</v>
      </c>
      <c r="E30" s="10">
        <f t="shared" si="3"/>
        <v>7.1654919477558074E-2</v>
      </c>
      <c r="F30" s="10">
        <f t="shared" si="4"/>
        <v>5.1344274853353314E-3</v>
      </c>
      <c r="G30" s="10">
        <f t="shared" si="5"/>
        <v>2.6205500507299777</v>
      </c>
      <c r="H30" s="10">
        <f t="shared" si="6"/>
        <v>-3.1100166363869225E-2</v>
      </c>
      <c r="I30" s="10">
        <f t="shared" si="7"/>
        <v>-1.7819082748044304</v>
      </c>
      <c r="J30" s="10">
        <f t="shared" si="8"/>
        <v>0.21510578130821442</v>
      </c>
      <c r="K30" s="10">
        <f t="shared" si="9"/>
        <v>8.2164356118831723</v>
      </c>
      <c r="L30" s="10">
        <v>1.093</v>
      </c>
      <c r="M30" s="10">
        <v>0.01</v>
      </c>
      <c r="N30" s="10">
        <f t="shared" si="10"/>
        <v>4402.0495942453163</v>
      </c>
      <c r="O30" s="10">
        <f t="shared" si="11"/>
        <v>184.33638780608047</v>
      </c>
      <c r="P30" s="10">
        <f t="shared" si="12"/>
        <v>4217.7132064392354</v>
      </c>
      <c r="Q30" s="10">
        <f t="shared" si="13"/>
        <v>167021.44297499373</v>
      </c>
      <c r="R30" s="43">
        <f t="shared" si="14"/>
        <v>9.9983438866876035</v>
      </c>
      <c r="S30" s="10">
        <f t="shared" si="15"/>
        <v>61.788844310804052</v>
      </c>
      <c r="T30" s="10">
        <f t="shared" si="16"/>
        <v>63.246432952892938</v>
      </c>
      <c r="U30" s="10">
        <f t="shared" si="17"/>
        <v>2400.0667687588693</v>
      </c>
      <c r="W30" s="116"/>
      <c r="X30" s="33">
        <f>X29-(Q9/2)-(Q33/2)</f>
        <v>2443583.5642718896</v>
      </c>
      <c r="Y30" s="33"/>
    </row>
    <row r="31" spans="1:25" x14ac:dyDescent="0.35">
      <c r="A31" s="10">
        <v>41.4</v>
      </c>
      <c r="B31" s="10">
        <f t="shared" si="0"/>
        <v>0.91999999999999993</v>
      </c>
      <c r="C31" s="10">
        <f t="shared" si="1"/>
        <v>4.7839999999999998</v>
      </c>
      <c r="D31" s="10">
        <f t="shared" si="2"/>
        <v>0.2060630795492496</v>
      </c>
      <c r="E31" s="10">
        <f t="shared" si="3"/>
        <v>6.8633694509420404E-2</v>
      </c>
      <c r="F31" s="10">
        <f t="shared" si="4"/>
        <v>4.7105840220124442E-3</v>
      </c>
      <c r="G31" s="10">
        <f t="shared" si="5"/>
        <v>2.5135084181645566</v>
      </c>
      <c r="H31" s="10">
        <f t="shared" si="6"/>
        <v>-3.7157538833266557E-2</v>
      </c>
      <c r="I31" s="10">
        <f t="shared" si="7"/>
        <v>-2.1289701522396349</v>
      </c>
      <c r="J31" s="10">
        <f t="shared" si="8"/>
        <v>0.20602144629787483</v>
      </c>
      <c r="K31" s="10">
        <f t="shared" si="9"/>
        <v>7.8694395746995776</v>
      </c>
      <c r="L31" s="10">
        <v>0.96499999999999997</v>
      </c>
      <c r="M31" s="10">
        <v>0.01</v>
      </c>
      <c r="N31" s="10">
        <f t="shared" si="10"/>
        <v>3889.6621968261634</v>
      </c>
      <c r="O31" s="10">
        <f t="shared" si="11"/>
        <v>192.87060008479173</v>
      </c>
      <c r="P31" s="10">
        <f t="shared" si="12"/>
        <v>3696.7915967413714</v>
      </c>
      <c r="Q31" s="10">
        <f t="shared" si="13"/>
        <v>153047.17210509276</v>
      </c>
      <c r="R31" s="43">
        <f t="shared" si="14"/>
        <v>9.9984097269392116</v>
      </c>
      <c r="S31" s="10">
        <f t="shared" si="15"/>
        <v>64.597428143113319</v>
      </c>
      <c r="T31" s="10">
        <f t="shared" si="16"/>
        <v>65.993012680924707</v>
      </c>
      <c r="U31" s="10">
        <f t="shared" si="17"/>
        <v>2613.0466336228133</v>
      </c>
      <c r="W31" s="113" t="s">
        <v>96</v>
      </c>
      <c r="X31" s="114">
        <f>X30*1.8</f>
        <v>4398450.4156894013</v>
      </c>
      <c r="Y31" s="114" t="s">
        <v>97</v>
      </c>
    </row>
    <row r="32" spans="1:25" x14ac:dyDescent="0.35">
      <c r="A32" s="10">
        <v>43.2</v>
      </c>
      <c r="B32" s="10">
        <f t="shared" si="0"/>
        <v>0.96000000000000008</v>
      </c>
      <c r="C32" s="10">
        <f t="shared" si="1"/>
        <v>4.9920000000000009</v>
      </c>
      <c r="D32" s="10">
        <f t="shared" si="2"/>
        <v>0.19770372624998689</v>
      </c>
      <c r="E32" s="10">
        <f t="shared" si="3"/>
        <v>6.585355121356655E-2</v>
      </c>
      <c r="F32" s="10">
        <f t="shared" si="4"/>
        <v>4.3366902074378324E-3</v>
      </c>
      <c r="G32" s="10">
        <f t="shared" si="5"/>
        <v>2.4146122214249042</v>
      </c>
      <c r="H32" s="10">
        <f t="shared" si="6"/>
        <v>-4.2730441032775013E-2</v>
      </c>
      <c r="I32" s="10">
        <f t="shared" si="7"/>
        <v>-2.4482739279106429</v>
      </c>
      <c r="J32" s="10">
        <f t="shared" si="8"/>
        <v>0.1976636909835072</v>
      </c>
      <c r="K32" s="10">
        <f t="shared" si="9"/>
        <v>7.5501968375553785</v>
      </c>
      <c r="L32" s="10">
        <v>0.73799999999999999</v>
      </c>
      <c r="M32" s="10">
        <v>0.01</v>
      </c>
      <c r="N32" s="10">
        <f t="shared" si="10"/>
        <v>2976.7930190668744</v>
      </c>
      <c r="O32" s="10">
        <f t="shared" si="11"/>
        <v>201.39892190261588</v>
      </c>
      <c r="P32" s="10">
        <f t="shared" si="12"/>
        <v>2775.3940971642587</v>
      </c>
      <c r="Q32" s="10">
        <f t="shared" si="13"/>
        <v>119897.02499749599</v>
      </c>
      <c r="R32" s="43">
        <f t="shared" si="14"/>
        <v>9.9984707654660205</v>
      </c>
      <c r="S32" s="10">
        <f t="shared" si="15"/>
        <v>67.406011975422601</v>
      </c>
      <c r="T32" s="10">
        <f t="shared" si="16"/>
        <v>68.74460306402834</v>
      </c>
      <c r="U32" s="10">
        <f t="shared" si="17"/>
        <v>2835.4922702584886</v>
      </c>
      <c r="W32" s="113"/>
      <c r="X32" s="114"/>
      <c r="Y32" s="114"/>
    </row>
    <row r="33" spans="1:21" x14ac:dyDescent="0.35">
      <c r="A33" s="10">
        <v>45</v>
      </c>
      <c r="B33" s="10">
        <f t="shared" si="0"/>
        <v>1</v>
      </c>
      <c r="C33" s="10">
        <f t="shared" si="1"/>
        <v>5.2</v>
      </c>
      <c r="D33" s="10">
        <f t="shared" si="2"/>
        <v>0.18998828791871572</v>
      </c>
      <c r="E33" s="10">
        <f t="shared" si="3"/>
        <v>6.3287106117322106E-2</v>
      </c>
      <c r="F33" s="10">
        <f t="shared" si="4"/>
        <v>4.0052578007051896E-3</v>
      </c>
      <c r="G33" s="10">
        <f t="shared" si="5"/>
        <v>2.3229947967560558</v>
      </c>
      <c r="H33" s="10">
        <f t="shared" si="6"/>
        <v>-4.787406658695581E-2</v>
      </c>
      <c r="I33" s="10">
        <f t="shared" si="7"/>
        <v>-2.7429819635608417</v>
      </c>
      <c r="J33" s="10">
        <f t="shared" si="8"/>
        <v>0.18994973748331659</v>
      </c>
      <c r="K33" s="10">
        <f t="shared" si="9"/>
        <v>7.2555455182746504</v>
      </c>
      <c r="L33" s="10">
        <v>0</v>
      </c>
      <c r="M33" s="10">
        <v>0.01</v>
      </c>
      <c r="N33" s="10">
        <f t="shared" si="10"/>
        <v>0</v>
      </c>
      <c r="O33" s="10">
        <f t="shared" si="11"/>
        <v>209.92201389858107</v>
      </c>
      <c r="P33" s="10">
        <f t="shared" si="12"/>
        <v>-209.92201389858107</v>
      </c>
      <c r="Q33" s="10">
        <f t="shared" si="13"/>
        <v>-9446.4906254361485</v>
      </c>
      <c r="R33" s="43">
        <f t="shared" si="14"/>
        <v>9.9985274818354917</v>
      </c>
      <c r="S33" s="10">
        <f t="shared" si="15"/>
        <v>70.214595807731882</v>
      </c>
      <c r="T33" s="10">
        <f t="shared" si="16"/>
        <v>71.500625622739548</v>
      </c>
      <c r="U33" s="10">
        <f t="shared" si="17"/>
        <v>3067.4036786658953</v>
      </c>
    </row>
  </sheetData>
  <mergeCells count="5">
    <mergeCell ref="W29:W30"/>
    <mergeCell ref="W28:Y28"/>
    <mergeCell ref="W31:W32"/>
    <mergeCell ref="X31:X32"/>
    <mergeCell ref="Y31:Y32"/>
  </mergeCells>
  <pageMargins left="0.7" right="0.7" top="0.75" bottom="0.75" header="0.3" footer="0.3"/>
  <ignoredErrors>
    <ignoredError sqref="J9:J3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F56-3EEA-4442-A184-C7110A51BB29}">
  <dimension ref="A1:AA36"/>
  <sheetViews>
    <sheetView topLeftCell="A39" zoomScale="85" zoomScaleNormal="85" workbookViewId="0">
      <selection activeCell="L27" sqref="L27"/>
    </sheetView>
  </sheetViews>
  <sheetFormatPr defaultRowHeight="14.5" x14ac:dyDescent="0.35"/>
  <cols>
    <col min="2" max="2" width="11.7265625" bestFit="1" customWidth="1"/>
    <col min="3" max="5" width="9.453125" bestFit="1" customWidth="1"/>
    <col min="6" max="6" width="11.54296875" bestFit="1" customWidth="1"/>
    <col min="7" max="7" width="10" bestFit="1" customWidth="1"/>
    <col min="8" max="8" width="10.81640625" bestFit="1" customWidth="1"/>
    <col min="9" max="10" width="9.453125" bestFit="1" customWidth="1"/>
    <col min="11" max="11" width="12.54296875" bestFit="1" customWidth="1"/>
    <col min="12" max="18" width="9.453125" bestFit="1" customWidth="1"/>
    <col min="19" max="19" width="12.81640625" bestFit="1" customWidth="1"/>
    <col min="20" max="20" width="10.54296875" bestFit="1" customWidth="1"/>
    <col min="21" max="21" width="11.1796875" bestFit="1" customWidth="1"/>
    <col min="22" max="22" width="9.453125" bestFit="1" customWidth="1"/>
    <col min="23" max="23" width="10.7265625" bestFit="1" customWidth="1"/>
  </cols>
  <sheetData>
    <row r="1" spans="1:23" x14ac:dyDescent="0.35">
      <c r="C1" t="s">
        <v>119</v>
      </c>
      <c r="D1">
        <f>45</f>
        <v>45</v>
      </c>
    </row>
    <row r="2" spans="1:23" x14ac:dyDescent="0.35">
      <c r="C2" s="1" t="s">
        <v>51</v>
      </c>
      <c r="D2" s="34">
        <f>5.2</f>
        <v>5.2</v>
      </c>
      <c r="F2" s="1" t="s">
        <v>120</v>
      </c>
      <c r="G2">
        <f>1.3</f>
        <v>1.3</v>
      </c>
      <c r="N2" s="54" t="s">
        <v>121</v>
      </c>
      <c r="O2" s="117" t="s">
        <v>122</v>
      </c>
      <c r="P2" s="117"/>
      <c r="Q2" s="117"/>
      <c r="R2" s="117"/>
      <c r="S2" s="117"/>
      <c r="T2" s="117"/>
    </row>
    <row r="3" spans="1:23" x14ac:dyDescent="0.35">
      <c r="C3" s="1" t="s">
        <v>102</v>
      </c>
      <c r="D3" s="25">
        <f>RADIANS(10)</f>
        <v>0.17453292519943295</v>
      </c>
      <c r="F3" s="1" t="s">
        <v>102</v>
      </c>
      <c r="G3">
        <f>RADIANS(12)</f>
        <v>0.20943951023931956</v>
      </c>
    </row>
    <row r="4" spans="1:23" x14ac:dyDescent="0.35">
      <c r="C4" s="1" t="s">
        <v>103</v>
      </c>
      <c r="D4" s="25">
        <f>13.5</f>
        <v>13.5</v>
      </c>
      <c r="F4" s="1" t="s">
        <v>104</v>
      </c>
      <c r="G4">
        <f>3</f>
        <v>3</v>
      </c>
    </row>
    <row r="5" spans="1:23" x14ac:dyDescent="0.35">
      <c r="C5" s="1" t="s">
        <v>80</v>
      </c>
      <c r="D5" s="25">
        <f>(2*PI()*14.9)/60</f>
        <v>1.5603243512829306</v>
      </c>
      <c r="F5" s="48" t="s">
        <v>123</v>
      </c>
      <c r="G5">
        <f>G4/2</f>
        <v>1.5</v>
      </c>
    </row>
    <row r="6" spans="1:23" x14ac:dyDescent="0.35">
      <c r="C6" s="1" t="s">
        <v>124</v>
      </c>
      <c r="D6" s="25">
        <v>1.2</v>
      </c>
      <c r="F6" s="48"/>
    </row>
    <row r="7" spans="1:23" x14ac:dyDescent="0.35">
      <c r="C7" s="1" t="s">
        <v>101</v>
      </c>
      <c r="D7" s="27">
        <f>(16*PI())/(3*1.3)</f>
        <v>12.888585245496586</v>
      </c>
    </row>
    <row r="8" spans="1:23" x14ac:dyDescent="0.35">
      <c r="C8" s="1" t="s">
        <v>91</v>
      </c>
      <c r="D8" s="25">
        <f>RADIANS(10)</f>
        <v>0.17453292519943295</v>
      </c>
    </row>
    <row r="10" spans="1:23" x14ac:dyDescent="0.35">
      <c r="A10" s="26" t="s">
        <v>125</v>
      </c>
      <c r="B10" s="26" t="s">
        <v>126</v>
      </c>
      <c r="C10" s="26" t="s">
        <v>55</v>
      </c>
      <c r="D10" s="26" t="s">
        <v>106</v>
      </c>
      <c r="E10" s="26" t="s">
        <v>51</v>
      </c>
      <c r="F10" s="26" t="s">
        <v>112</v>
      </c>
      <c r="G10" s="26" t="s">
        <v>127</v>
      </c>
      <c r="H10" s="118" t="s">
        <v>82</v>
      </c>
      <c r="I10" s="118"/>
      <c r="J10" s="118" t="s">
        <v>128</v>
      </c>
      <c r="K10" s="118"/>
      <c r="L10" s="118"/>
      <c r="M10" s="26" t="s">
        <v>129</v>
      </c>
      <c r="N10" s="118" t="s">
        <v>75</v>
      </c>
      <c r="O10" s="118"/>
      <c r="P10" s="118"/>
      <c r="Q10" s="26" t="s">
        <v>116</v>
      </c>
      <c r="R10" s="26" t="s">
        <v>130</v>
      </c>
      <c r="S10" s="26" t="s">
        <v>131</v>
      </c>
      <c r="T10" s="26" t="s">
        <v>114</v>
      </c>
      <c r="U10" s="26" t="s">
        <v>115</v>
      </c>
      <c r="V10" s="26" t="s">
        <v>89</v>
      </c>
      <c r="W10" s="26" t="s">
        <v>90</v>
      </c>
    </row>
    <row r="11" spans="1:23" x14ac:dyDescent="0.35">
      <c r="A11" s="10"/>
      <c r="B11" s="10"/>
      <c r="C11" s="26">
        <v>0</v>
      </c>
      <c r="D11" s="26"/>
      <c r="E11" s="26"/>
      <c r="F11" s="26"/>
      <c r="G11" s="26"/>
      <c r="H11" s="26" t="s">
        <v>132</v>
      </c>
      <c r="I11" s="26" t="s">
        <v>82</v>
      </c>
      <c r="J11" s="26" t="s">
        <v>132</v>
      </c>
      <c r="K11" s="26" t="s">
        <v>133</v>
      </c>
      <c r="L11" s="26" t="s">
        <v>128</v>
      </c>
      <c r="M11" s="26"/>
      <c r="N11" s="26" t="s">
        <v>134</v>
      </c>
      <c r="O11" s="26" t="s">
        <v>135</v>
      </c>
      <c r="P11" s="26" t="s">
        <v>75</v>
      </c>
      <c r="Q11" s="26"/>
      <c r="R11" s="26"/>
      <c r="S11" s="26"/>
      <c r="T11" s="26"/>
      <c r="U11" s="26"/>
      <c r="V11" s="26"/>
      <c r="W11" s="26">
        <v>0</v>
      </c>
    </row>
    <row r="12" spans="1:23" x14ac:dyDescent="0.35">
      <c r="A12" s="10">
        <v>1</v>
      </c>
      <c r="B12" s="42">
        <f>AVERAGE(C11:C12)</f>
        <v>0.9</v>
      </c>
      <c r="C12" s="42">
        <v>1.8</v>
      </c>
      <c r="D12" s="42">
        <f>C12/D$1</f>
        <v>0.04</v>
      </c>
      <c r="E12" s="42">
        <f t="shared" ref="E12:E36" si="0">(D$5*B12)/D$4</f>
        <v>0.10402162341886204</v>
      </c>
      <c r="F12" s="42">
        <f t="shared" ref="F12:F36" si="1">(ATAN(0.667/E12))</f>
        <v>1.4160880965444071</v>
      </c>
      <c r="G12" s="42">
        <f>DEGREES(F12)</f>
        <v>81.135871350708783</v>
      </c>
      <c r="H12" s="42">
        <f>(8*PI()*B12)/(G$4*G$2)</f>
        <v>5.7998633604734637</v>
      </c>
      <c r="I12" s="42">
        <f>H12*(1-COS(F12))</f>
        <v>4.906151854592979</v>
      </c>
      <c r="J12" s="42">
        <f>(G$5*(1-D12))/(D12*SIN(F12))</f>
        <v>36.435162187762067</v>
      </c>
      <c r="K12" s="42">
        <f>EXP(-J12)</f>
        <v>1.5011016924291642E-16</v>
      </c>
      <c r="L12" s="42">
        <f>(2*ACOS(K12))/(PI())</f>
        <v>0.99999999999999989</v>
      </c>
      <c r="M12" s="42">
        <f>(G$4*I12)/(2*PI()*B12)</f>
        <v>2.6027943973931413</v>
      </c>
      <c r="N12" s="42">
        <f>4*L12*SIN(F12)*(COS(F12)-(E12*SIN(F12)))</f>
        <v>0.20279890494759956</v>
      </c>
      <c r="O12" s="42">
        <f>M12*(SIN(F12)+(E12*COS(F12)))</f>
        <v>2.6134278888194742</v>
      </c>
      <c r="P12" s="42">
        <f>(N12/O12)</f>
        <v>7.7598814115053677E-2</v>
      </c>
      <c r="Q12" s="42">
        <f>B12*D$5</f>
        <v>1.4042919161546374</v>
      </c>
      <c r="R12" s="42">
        <f>((D$4*D$4)+(Q12*Q12))^(1/2)</f>
        <v>13.572841846340701</v>
      </c>
      <c r="S12" s="42">
        <f>0.5*D$6*R12*R12</f>
        <v>110.53322147146635</v>
      </c>
      <c r="T12" s="42">
        <f>(S12*G$4*I12*P12*SIN(F12))</f>
        <v>124.73603835998492</v>
      </c>
      <c r="U12" s="42">
        <f>S12*G$4*I12*0.018*COS(F12)</f>
        <v>4.5123955355014722</v>
      </c>
      <c r="V12" s="42">
        <f>T12-U12</f>
        <v>120.22364282448345</v>
      </c>
      <c r="W12" s="42">
        <f>V12*B12</f>
        <v>108.20127854203511</v>
      </c>
    </row>
    <row r="13" spans="1:23" x14ac:dyDescent="0.35">
      <c r="A13" s="10">
        <v>2</v>
      </c>
      <c r="B13" s="42">
        <f t="shared" ref="B13:B36" si="2">AVERAGE(C12:C13)</f>
        <v>2.7</v>
      </c>
      <c r="C13" s="42">
        <v>3.6</v>
      </c>
      <c r="D13" s="42">
        <f t="shared" ref="D13:D36" si="3">C13/D$1</f>
        <v>0.08</v>
      </c>
      <c r="E13" s="42">
        <f t="shared" si="0"/>
        <v>0.31206487025658614</v>
      </c>
      <c r="F13" s="42">
        <f t="shared" si="1"/>
        <v>1.1331869203681717</v>
      </c>
      <c r="G13" s="42">
        <f t="shared" ref="G13:G36" si="4">DEGREES(F13)</f>
        <v>64.926827936523537</v>
      </c>
      <c r="H13" s="42">
        <f t="shared" ref="H13:H36" si="5">(8*PI()*B13)/(G$4*G$2)</f>
        <v>17.399590081420392</v>
      </c>
      <c r="I13" s="42">
        <f t="shared" ref="I13:I36" si="6">H13*(1-COS(F13))</f>
        <v>10.026072591600034</v>
      </c>
      <c r="J13" s="42">
        <f t="shared" ref="J13:J36" si="7">(G$5*(1-D13))/(D13*SIN(F13))</f>
        <v>19.044626055710271</v>
      </c>
      <c r="K13" s="42">
        <f t="shared" ref="K13:K36" si="8">EXP(-J13)</f>
        <v>5.3582626026243679E-9</v>
      </c>
      <c r="L13" s="42">
        <f t="shared" ref="L13:L36" si="9">(2*ACOS(K13))/(PI())</f>
        <v>0.9999999965888241</v>
      </c>
      <c r="M13" s="42">
        <f t="shared" ref="M13:M36" si="10">(G$4*I13)/(2*PI()*B13)</f>
        <v>1.7729989030570168</v>
      </c>
      <c r="N13" s="42">
        <f t="shared" ref="N13:N36" si="11">4*L13*SIN(F13)*(COS(F13)-(E13*SIN(F13)))</f>
        <v>0.5112773705690431</v>
      </c>
      <c r="O13" s="42">
        <f t="shared" ref="O13:O36" si="12">M13*(SIN(F13)+(E13*COS(F13)))</f>
        <v>1.840395425879138</v>
      </c>
      <c r="P13" s="42">
        <f t="shared" ref="P13:P36" si="13">(N13/O13)</f>
        <v>0.27780843365485497</v>
      </c>
      <c r="Q13" s="42">
        <f t="shared" ref="Q13:Q36" si="14">B13*D$5</f>
        <v>4.2128757484639126</v>
      </c>
      <c r="R13" s="42">
        <f t="shared" ref="R13:R36" si="15">((D$4*D$4)+(Q13*Q13))^(1/2)</f>
        <v>14.142076299893002</v>
      </c>
      <c r="S13" s="42">
        <f t="shared" ref="S13:S36" si="16">0.5*D$6*R13*R13</f>
        <v>119.99899324319719</v>
      </c>
      <c r="T13" s="42">
        <f t="shared" ref="T13:T36" si="17">(S13*G$4*I13*P13*SIN(F13))</f>
        <v>908.22149769531381</v>
      </c>
      <c r="U13" s="42">
        <f t="shared" ref="U13:U36" si="18">S13*G$4*I13*0.018*COS(F13)</f>
        <v>27.532009129301905</v>
      </c>
      <c r="V13" s="42">
        <f t="shared" ref="V13:V36" si="19">T13-U13</f>
        <v>880.68948856601196</v>
      </c>
      <c r="W13" s="42">
        <f t="shared" ref="W13:W36" si="20">V13*B13</f>
        <v>2377.8616191282326</v>
      </c>
    </row>
    <row r="14" spans="1:23" x14ac:dyDescent="0.35">
      <c r="A14" s="10">
        <v>3</v>
      </c>
      <c r="B14" s="42">
        <f t="shared" si="2"/>
        <v>4.5</v>
      </c>
      <c r="C14" s="42">
        <v>5.4</v>
      </c>
      <c r="D14" s="42">
        <f t="shared" si="3"/>
        <v>0.12000000000000001</v>
      </c>
      <c r="E14" s="42">
        <f t="shared" si="0"/>
        <v>0.52010811709431026</v>
      </c>
      <c r="F14" s="42">
        <f t="shared" si="1"/>
        <v>0.90851162438826139</v>
      </c>
      <c r="G14" s="42">
        <f t="shared" si="4"/>
        <v>52.05388171602209</v>
      </c>
      <c r="H14" s="42">
        <f t="shared" si="5"/>
        <v>28.999316802367318</v>
      </c>
      <c r="I14" s="42">
        <f t="shared" si="6"/>
        <v>11.167052640834775</v>
      </c>
      <c r="J14" s="42">
        <f t="shared" si="7"/>
        <v>13.94895779760987</v>
      </c>
      <c r="K14" s="42">
        <f t="shared" si="8"/>
        <v>8.7507363695490224E-7</v>
      </c>
      <c r="L14" s="42">
        <f t="shared" si="9"/>
        <v>0.99999944291082044</v>
      </c>
      <c r="M14" s="42">
        <f t="shared" si="10"/>
        <v>1.1848610850375054</v>
      </c>
      <c r="N14" s="42">
        <f t="shared" si="11"/>
        <v>0.64591241228330731</v>
      </c>
      <c r="O14" s="42">
        <f t="shared" si="12"/>
        <v>1.3133170191648205</v>
      </c>
      <c r="P14" s="42">
        <f t="shared" si="13"/>
        <v>0.49181759077032544</v>
      </c>
      <c r="Q14" s="42">
        <f t="shared" si="14"/>
        <v>7.0214595807731879</v>
      </c>
      <c r="R14" s="42">
        <f t="shared" si="15"/>
        <v>15.21679646457925</v>
      </c>
      <c r="S14" s="42">
        <f t="shared" si="16"/>
        <v>138.93053678665893</v>
      </c>
      <c r="T14" s="42">
        <f t="shared" si="17"/>
        <v>1805.1467536572197</v>
      </c>
      <c r="U14" s="42">
        <f t="shared" si="18"/>
        <v>51.516785859364497</v>
      </c>
      <c r="V14" s="42">
        <f t="shared" si="19"/>
        <v>1753.6299677978552</v>
      </c>
      <c r="W14" s="42">
        <f t="shared" si="20"/>
        <v>7891.3348550903484</v>
      </c>
    </row>
    <row r="15" spans="1:23" x14ac:dyDescent="0.35">
      <c r="A15" s="10">
        <v>4</v>
      </c>
      <c r="B15" s="42">
        <f t="shared" si="2"/>
        <v>6.3000000000000007</v>
      </c>
      <c r="C15" s="42">
        <v>7.2</v>
      </c>
      <c r="D15" s="42">
        <f t="shared" si="3"/>
        <v>0.16</v>
      </c>
      <c r="E15" s="42">
        <f t="shared" si="0"/>
        <v>0.72815136393203439</v>
      </c>
      <c r="F15" s="42">
        <f t="shared" si="1"/>
        <v>0.74159485321694241</v>
      </c>
      <c r="G15" s="42">
        <f t="shared" si="4"/>
        <v>42.490255197954582</v>
      </c>
      <c r="H15" s="42">
        <f t="shared" si="5"/>
        <v>40.599043523314251</v>
      </c>
      <c r="I15" s="42">
        <f t="shared" si="6"/>
        <v>10.661624293034436</v>
      </c>
      <c r="J15" s="42">
        <f t="shared" si="7"/>
        <v>11.658638570623188</v>
      </c>
      <c r="K15" s="42">
        <f t="shared" si="8"/>
        <v>8.6440566071174384E-6</v>
      </c>
      <c r="L15" s="42">
        <f t="shared" si="9"/>
        <v>0.99999449702265042</v>
      </c>
      <c r="M15" s="42">
        <f t="shared" si="10"/>
        <v>0.80802390839288774</v>
      </c>
      <c r="N15" s="42">
        <f t="shared" si="11"/>
        <v>0.66344223491413346</v>
      </c>
      <c r="O15" s="42">
        <f t="shared" si="12"/>
        <v>0.979646538491869</v>
      </c>
      <c r="P15" s="42">
        <f t="shared" si="13"/>
        <v>0.67722613090174255</v>
      </c>
      <c r="Q15" s="42">
        <f t="shared" si="14"/>
        <v>9.8300434130824641</v>
      </c>
      <c r="R15" s="42">
        <f t="shared" si="15"/>
        <v>16.699693215837407</v>
      </c>
      <c r="S15" s="42">
        <f t="shared" si="16"/>
        <v>167.32785210185153</v>
      </c>
      <c r="T15" s="42">
        <f t="shared" si="17"/>
        <v>2448.2135421927028</v>
      </c>
      <c r="U15" s="42">
        <f t="shared" si="18"/>
        <v>71.036887968350086</v>
      </c>
      <c r="V15" s="42">
        <f t="shared" si="19"/>
        <v>2377.1766542243527</v>
      </c>
      <c r="W15" s="42">
        <f t="shared" si="20"/>
        <v>14976.212921613424</v>
      </c>
    </row>
    <row r="16" spans="1:23" x14ac:dyDescent="0.35">
      <c r="A16" s="10">
        <v>5</v>
      </c>
      <c r="B16" s="42">
        <f t="shared" si="2"/>
        <v>8.1</v>
      </c>
      <c r="C16" s="42">
        <v>9</v>
      </c>
      <c r="D16" s="42">
        <f t="shared" si="3"/>
        <v>0.2</v>
      </c>
      <c r="E16" s="42">
        <f t="shared" si="0"/>
        <v>0.9361946107697583</v>
      </c>
      <c r="F16" s="42">
        <f t="shared" si="1"/>
        <v>0.61903866384017014</v>
      </c>
      <c r="G16" s="42">
        <f t="shared" si="4"/>
        <v>35.468302793459479</v>
      </c>
      <c r="H16" s="42">
        <f t="shared" si="5"/>
        <v>52.198770244261169</v>
      </c>
      <c r="I16" s="42">
        <f t="shared" si="6"/>
        <v>9.6861786407420425</v>
      </c>
      <c r="J16" s="42">
        <f t="shared" si="7"/>
        <v>10.340326310575758</v>
      </c>
      <c r="K16" s="42">
        <f t="shared" si="8"/>
        <v>3.2303779875415764E-5</v>
      </c>
      <c r="L16" s="42">
        <f t="shared" si="9"/>
        <v>0.9999794347750055</v>
      </c>
      <c r="M16" s="42">
        <f t="shared" si="10"/>
        <v>0.57096415197971562</v>
      </c>
      <c r="N16" s="42">
        <f t="shared" si="11"/>
        <v>0.62946213277618956</v>
      </c>
      <c r="O16" s="42">
        <f t="shared" si="12"/>
        <v>0.76664708985915953</v>
      </c>
      <c r="P16" s="42">
        <f t="shared" si="13"/>
        <v>0.82105853019259201</v>
      </c>
      <c r="Q16" s="42">
        <f t="shared" si="14"/>
        <v>12.638627245391737</v>
      </c>
      <c r="R16" s="42">
        <f t="shared" si="15"/>
        <v>18.492833710601474</v>
      </c>
      <c r="S16" s="42">
        <f t="shared" si="16"/>
        <v>205.19093918877496</v>
      </c>
      <c r="T16" s="42">
        <f t="shared" si="17"/>
        <v>2840.6847005099589</v>
      </c>
      <c r="U16" s="42">
        <f t="shared" si="18"/>
        <v>87.410121265271755</v>
      </c>
      <c r="V16" s="42">
        <f t="shared" si="19"/>
        <v>2753.2745792446872</v>
      </c>
      <c r="W16" s="42">
        <f t="shared" si="20"/>
        <v>22301.524091881965</v>
      </c>
    </row>
    <row r="17" spans="1:27" x14ac:dyDescent="0.35">
      <c r="A17" s="10">
        <v>6</v>
      </c>
      <c r="B17" s="42">
        <f t="shared" si="2"/>
        <v>9.9</v>
      </c>
      <c r="C17" s="42">
        <v>10.8</v>
      </c>
      <c r="D17" s="42">
        <f t="shared" si="3"/>
        <v>0.24000000000000002</v>
      </c>
      <c r="E17" s="42">
        <f t="shared" si="0"/>
        <v>1.1442378576074825</v>
      </c>
      <c r="F17" s="42">
        <f t="shared" si="1"/>
        <v>0.52776656538643474</v>
      </c>
      <c r="G17" s="42">
        <f t="shared" si="4"/>
        <v>30.238796764757911</v>
      </c>
      <c r="H17" s="42">
        <f t="shared" si="5"/>
        <v>63.798496965208102</v>
      </c>
      <c r="I17" s="42">
        <f t="shared" si="6"/>
        <v>8.6808067155561428</v>
      </c>
      <c r="J17" s="42">
        <f t="shared" si="7"/>
        <v>9.4319942130309737</v>
      </c>
      <c r="K17" s="42">
        <f t="shared" si="8"/>
        <v>8.011926563431646E-5</v>
      </c>
      <c r="L17" s="42">
        <f t="shared" si="9"/>
        <v>0.99994899449129504</v>
      </c>
      <c r="M17" s="42">
        <f t="shared" si="10"/>
        <v>0.41866463600184262</v>
      </c>
      <c r="N17" s="42">
        <f t="shared" si="11"/>
        <v>0.57949903810516845</v>
      </c>
      <c r="O17" s="42">
        <f t="shared" si="12"/>
        <v>0.62471087218053789</v>
      </c>
      <c r="P17" s="42">
        <f t="shared" si="13"/>
        <v>0.92762758567405967</v>
      </c>
      <c r="Q17" s="42">
        <f t="shared" si="14"/>
        <v>15.447211077701013</v>
      </c>
      <c r="R17" s="42">
        <f t="shared" si="15"/>
        <v>20.515026933422458</v>
      </c>
      <c r="S17" s="42">
        <f t="shared" si="16"/>
        <v>252.5197980474293</v>
      </c>
      <c r="T17" s="42">
        <f t="shared" si="17"/>
        <v>3072.1365385658637</v>
      </c>
      <c r="U17" s="42">
        <f t="shared" si="18"/>
        <v>102.26566391629905</v>
      </c>
      <c r="V17" s="42">
        <f t="shared" si="19"/>
        <v>2969.8708746495645</v>
      </c>
      <c r="W17" s="42">
        <f t="shared" si="20"/>
        <v>29401.721659030689</v>
      </c>
    </row>
    <row r="18" spans="1:27" s="28" customFormat="1" x14ac:dyDescent="0.35">
      <c r="A18" s="50">
        <v>7</v>
      </c>
      <c r="B18" s="42">
        <f t="shared" si="2"/>
        <v>11.7</v>
      </c>
      <c r="C18" s="52">
        <v>12.6</v>
      </c>
      <c r="D18" s="42">
        <f t="shared" si="3"/>
        <v>0.27999999999999997</v>
      </c>
      <c r="E18" s="42">
        <f t="shared" si="0"/>
        <v>1.3522811044452065</v>
      </c>
      <c r="F18" s="42">
        <f t="shared" si="1"/>
        <v>0.45822551557262348</v>
      </c>
      <c r="G18" s="42">
        <f t="shared" si="4"/>
        <v>26.254388107517507</v>
      </c>
      <c r="H18" s="42">
        <f t="shared" si="5"/>
        <v>75.398223686155021</v>
      </c>
      <c r="I18" s="42">
        <f t="shared" si="6"/>
        <v>7.7781663043965601</v>
      </c>
      <c r="J18" s="42">
        <f t="shared" si="7"/>
        <v>8.7195174129686119</v>
      </c>
      <c r="K18" s="42">
        <f t="shared" si="8"/>
        <v>1.6336601021959461E-4</v>
      </c>
      <c r="L18" s="42">
        <f t="shared" si="9"/>
        <v>0.99989599796729878</v>
      </c>
      <c r="M18" s="42">
        <f t="shared" si="10"/>
        <v>0.31741887577834171</v>
      </c>
      <c r="N18" s="42">
        <f t="shared" si="11"/>
        <v>0.52838046213369694</v>
      </c>
      <c r="O18" s="42">
        <f t="shared" si="12"/>
        <v>0.52537129062454968</v>
      </c>
      <c r="P18" s="42">
        <f t="shared" si="13"/>
        <v>1.0057277045069783</v>
      </c>
      <c r="Q18" s="42">
        <f t="shared" si="14"/>
        <v>18.255794910010287</v>
      </c>
      <c r="R18" s="42">
        <f t="shared" si="15"/>
        <v>22.705154652553183</v>
      </c>
      <c r="S18" s="42">
        <f t="shared" si="16"/>
        <v>309.31442867781448</v>
      </c>
      <c r="T18" s="42">
        <f t="shared" si="17"/>
        <v>3211.0890301047998</v>
      </c>
      <c r="U18" s="42">
        <f t="shared" si="18"/>
        <v>116.51600461108026</v>
      </c>
      <c r="V18" s="42">
        <f t="shared" si="19"/>
        <v>3094.5730254937193</v>
      </c>
      <c r="W18" s="42">
        <f t="shared" si="20"/>
        <v>36206.504398276513</v>
      </c>
    </row>
    <row r="19" spans="1:27" x14ac:dyDescent="0.35">
      <c r="A19" s="50">
        <v>8</v>
      </c>
      <c r="B19" s="42">
        <f t="shared" si="2"/>
        <v>13.5</v>
      </c>
      <c r="C19" s="42">
        <v>14.4</v>
      </c>
      <c r="D19" s="42">
        <f t="shared" si="3"/>
        <v>0.32</v>
      </c>
      <c r="E19" s="42">
        <f t="shared" si="0"/>
        <v>1.5603243512829306</v>
      </c>
      <c r="F19" s="42">
        <f t="shared" si="1"/>
        <v>0.40396531411527925</v>
      </c>
      <c r="G19" s="42">
        <f t="shared" si="4"/>
        <v>23.145507568482081</v>
      </c>
      <c r="H19" s="42">
        <f t="shared" si="5"/>
        <v>86.997950407101953</v>
      </c>
      <c r="I19" s="42">
        <f t="shared" si="6"/>
        <v>7.0025006314152467</v>
      </c>
      <c r="J19" s="42">
        <f t="shared" si="7"/>
        <v>8.1092928157053912</v>
      </c>
      <c r="K19" s="42">
        <f t="shared" si="8"/>
        <v>3.0073147058261009E-4</v>
      </c>
      <c r="L19" s="42">
        <f t="shared" si="9"/>
        <v>0.99980854839676814</v>
      </c>
      <c r="M19" s="42">
        <f t="shared" si="10"/>
        <v>0.24766279766530108</v>
      </c>
      <c r="N19" s="42">
        <f t="shared" si="11"/>
        <v>0.48133178874039745</v>
      </c>
      <c r="O19" s="42">
        <f t="shared" si="12"/>
        <v>0.45267825302820214</v>
      </c>
      <c r="P19" s="42">
        <f t="shared" si="13"/>
        <v>1.0632977959964209</v>
      </c>
      <c r="Q19" s="42">
        <f t="shared" si="14"/>
        <v>21.064378742319562</v>
      </c>
      <c r="R19" s="42">
        <f t="shared" si="15"/>
        <v>25.019153698714199</v>
      </c>
      <c r="S19" s="42">
        <f t="shared" si="16"/>
        <v>375.57483107993062</v>
      </c>
      <c r="T19" s="42">
        <f t="shared" si="17"/>
        <v>3297.5623552249072</v>
      </c>
      <c r="U19" s="42">
        <f t="shared" si="18"/>
        <v>130.5869144912914</v>
      </c>
      <c r="V19" s="42">
        <f t="shared" si="19"/>
        <v>3166.9754407336159</v>
      </c>
      <c r="W19" s="42">
        <f t="shared" si="20"/>
        <v>42754.168449903817</v>
      </c>
    </row>
    <row r="20" spans="1:27" x14ac:dyDescent="0.35">
      <c r="A20" s="50">
        <v>9</v>
      </c>
      <c r="B20" s="42">
        <f t="shared" si="2"/>
        <v>15.3</v>
      </c>
      <c r="C20" s="42">
        <v>16.2</v>
      </c>
      <c r="D20" s="42">
        <f t="shared" si="3"/>
        <v>0.36</v>
      </c>
      <c r="E20" s="42">
        <f t="shared" si="0"/>
        <v>1.7683675981206548</v>
      </c>
      <c r="F20" s="42">
        <f t="shared" si="1"/>
        <v>0.36068405157065825</v>
      </c>
      <c r="G20" s="42">
        <f t="shared" si="4"/>
        <v>20.665673892677649</v>
      </c>
      <c r="H20" s="42">
        <f t="shared" si="5"/>
        <v>98.597677128048886</v>
      </c>
      <c r="I20" s="42">
        <f t="shared" si="6"/>
        <v>6.3442053207866023</v>
      </c>
      <c r="J20" s="42">
        <f t="shared" si="7"/>
        <v>7.556129830907631</v>
      </c>
      <c r="K20" s="42">
        <f t="shared" si="8"/>
        <v>5.2289502508119775E-4</v>
      </c>
      <c r="L20" s="42">
        <f t="shared" si="9"/>
        <v>0.99966711467299108</v>
      </c>
      <c r="M20" s="42">
        <f t="shared" si="10"/>
        <v>0.19798267388099827</v>
      </c>
      <c r="N20" s="42">
        <f t="shared" si="11"/>
        <v>0.43968837861163268</v>
      </c>
      <c r="O20" s="42">
        <f t="shared" si="12"/>
        <v>0.397449713621083</v>
      </c>
      <c r="P20" s="42">
        <f t="shared" si="13"/>
        <v>1.1062742368228722</v>
      </c>
      <c r="Q20" s="42">
        <f t="shared" si="14"/>
        <v>23.87296257462884</v>
      </c>
      <c r="R20" s="42">
        <f t="shared" si="15"/>
        <v>27.425687632029014</v>
      </c>
      <c r="S20" s="42">
        <f t="shared" si="16"/>
        <v>451.30100525377753</v>
      </c>
      <c r="T20" s="42">
        <f t="shared" si="17"/>
        <v>3353.4891444483515</v>
      </c>
      <c r="U20" s="42">
        <f t="shared" si="18"/>
        <v>144.66162063694415</v>
      </c>
      <c r="V20" s="42">
        <f t="shared" si="19"/>
        <v>3208.8275238114074</v>
      </c>
      <c r="W20" s="42">
        <f t="shared" si="20"/>
        <v>49095.061114314536</v>
      </c>
    </row>
    <row r="21" spans="1:27" x14ac:dyDescent="0.35">
      <c r="A21" s="50">
        <v>10</v>
      </c>
      <c r="B21" s="42">
        <f t="shared" si="2"/>
        <v>17.100000000000001</v>
      </c>
      <c r="C21" s="42">
        <v>18</v>
      </c>
      <c r="D21" s="42">
        <f t="shared" si="3"/>
        <v>0.4</v>
      </c>
      <c r="E21" s="42">
        <f t="shared" si="0"/>
        <v>1.9764108449583788</v>
      </c>
      <c r="F21" s="42">
        <f t="shared" si="1"/>
        <v>0.32547829458987515</v>
      </c>
      <c r="G21" s="42">
        <f t="shared" si="4"/>
        <v>18.648532603115541</v>
      </c>
      <c r="H21" s="42">
        <f t="shared" si="5"/>
        <v>110.19740384899582</v>
      </c>
      <c r="I21" s="42">
        <f t="shared" si="6"/>
        <v>5.7855957380380749</v>
      </c>
      <c r="J21" s="42">
        <f t="shared" si="7"/>
        <v>7.0364832627877982</v>
      </c>
      <c r="K21" s="42">
        <f t="shared" si="8"/>
        <v>8.792130932204394E-4</v>
      </c>
      <c r="L21" s="42">
        <f t="shared" si="9"/>
        <v>0.99944027548861869</v>
      </c>
      <c r="M21" s="42">
        <f t="shared" si="10"/>
        <v>0.16154494042809858</v>
      </c>
      <c r="N21" s="42">
        <f t="shared" si="11"/>
        <v>0.403335254420917</v>
      </c>
      <c r="O21" s="42">
        <f t="shared" si="12"/>
        <v>0.3541722775172968</v>
      </c>
      <c r="P21" s="42">
        <f t="shared" si="13"/>
        <v>1.1388109121590388</v>
      </c>
      <c r="Q21" s="42">
        <f t="shared" si="14"/>
        <v>26.681546406938114</v>
      </c>
      <c r="R21" s="42">
        <f t="shared" si="15"/>
        <v>29.902423290857083</v>
      </c>
      <c r="S21" s="42">
        <f t="shared" si="16"/>
        <v>536.49295119935528</v>
      </c>
      <c r="T21" s="42">
        <f t="shared" si="17"/>
        <v>3390.8754545355728</v>
      </c>
      <c r="U21" s="42">
        <f t="shared" si="18"/>
        <v>158.81229366803967</v>
      </c>
      <c r="V21" s="42">
        <f t="shared" si="19"/>
        <v>3232.063160867533</v>
      </c>
      <c r="W21" s="42">
        <f t="shared" si="20"/>
        <v>55268.280050834823</v>
      </c>
    </row>
    <row r="22" spans="1:27" x14ac:dyDescent="0.35">
      <c r="A22" s="10">
        <v>11</v>
      </c>
      <c r="B22" s="42">
        <f t="shared" si="2"/>
        <v>18.899999999999999</v>
      </c>
      <c r="C22" s="42">
        <v>19.8</v>
      </c>
      <c r="D22" s="42">
        <f t="shared" si="3"/>
        <v>0.44</v>
      </c>
      <c r="E22" s="42">
        <f t="shared" si="0"/>
        <v>2.1844540917961024</v>
      </c>
      <c r="F22" s="42">
        <f t="shared" si="1"/>
        <v>0.29634814061319931</v>
      </c>
      <c r="G22" s="42">
        <f t="shared" si="4"/>
        <v>16.979497723685785</v>
      </c>
      <c r="H22" s="42">
        <f t="shared" si="5"/>
        <v>121.79713056994272</v>
      </c>
      <c r="I22" s="42">
        <f t="shared" si="6"/>
        <v>5.3092203825184274</v>
      </c>
      <c r="J22" s="42">
        <f t="shared" si="7"/>
        <v>6.5373223550960384</v>
      </c>
      <c r="K22" s="42">
        <f t="shared" si="8"/>
        <v>1.4483615092477726E-3</v>
      </c>
      <c r="L22" s="42">
        <f t="shared" si="9"/>
        <v>0.99907794410330264</v>
      </c>
      <c r="M22" s="42">
        <f t="shared" si="10"/>
        <v>0.13412518537175416</v>
      </c>
      <c r="N22" s="42">
        <f t="shared" si="11"/>
        <v>0.37168420219793491</v>
      </c>
      <c r="O22" s="42">
        <f t="shared" si="12"/>
        <v>0.31938717100844377</v>
      </c>
      <c r="P22" s="42">
        <f t="shared" si="13"/>
        <v>1.1637418028544062</v>
      </c>
      <c r="Q22" s="42">
        <f t="shared" si="14"/>
        <v>29.490130239247385</v>
      </c>
      <c r="R22" s="42">
        <f t="shared" si="15"/>
        <v>32.433282003642077</v>
      </c>
      <c r="S22" s="42">
        <f t="shared" si="16"/>
        <v>631.15066891666379</v>
      </c>
      <c r="T22" s="42">
        <f t="shared" si="17"/>
        <v>3416.3975246790596</v>
      </c>
      <c r="U22" s="42">
        <f t="shared" si="18"/>
        <v>173.06185594737946</v>
      </c>
      <c r="V22" s="42">
        <f t="shared" si="19"/>
        <v>3243.33566873168</v>
      </c>
      <c r="W22" s="42">
        <f t="shared" si="20"/>
        <v>61299.044139028745</v>
      </c>
    </row>
    <row r="23" spans="1:27" x14ac:dyDescent="0.35">
      <c r="A23" s="10">
        <v>12</v>
      </c>
      <c r="B23" s="42">
        <f t="shared" si="2"/>
        <v>20.700000000000003</v>
      </c>
      <c r="C23" s="42">
        <v>21.6</v>
      </c>
      <c r="D23" s="42">
        <f t="shared" si="3"/>
        <v>0.48000000000000004</v>
      </c>
      <c r="E23" s="42">
        <f t="shared" si="0"/>
        <v>2.3924973386338273</v>
      </c>
      <c r="F23" s="42">
        <f t="shared" si="1"/>
        <v>0.2718846378168544</v>
      </c>
      <c r="G23" s="42">
        <f t="shared" si="4"/>
        <v>15.577842261348733</v>
      </c>
      <c r="H23" s="42">
        <f t="shared" si="5"/>
        <v>133.3968572908897</v>
      </c>
      <c r="I23" s="42">
        <f t="shared" si="6"/>
        <v>4.9001344014848351</v>
      </c>
      <c r="J23" s="42">
        <f t="shared" si="7"/>
        <v>6.0510750730122833</v>
      </c>
      <c r="K23" s="42">
        <f t="shared" si="8"/>
        <v>2.3553284947794152E-3</v>
      </c>
      <c r="L23" s="42">
        <f t="shared" si="9"/>
        <v>0.99850054992341575</v>
      </c>
      <c r="M23" s="42">
        <f t="shared" si="10"/>
        <v>0.11302617562477645</v>
      </c>
      <c r="N23" s="42">
        <f t="shared" si="11"/>
        <v>0.3440486128347256</v>
      </c>
      <c r="O23" s="42">
        <f t="shared" si="12"/>
        <v>0.2908344161793277</v>
      </c>
      <c r="P23" s="42">
        <f t="shared" si="13"/>
        <v>1.1829707685715785</v>
      </c>
      <c r="Q23" s="42">
        <f t="shared" si="14"/>
        <v>32.298714071556667</v>
      </c>
      <c r="R23" s="42">
        <f t="shared" si="15"/>
        <v>35.006526972497177</v>
      </c>
      <c r="S23" s="42">
        <f t="shared" si="16"/>
        <v>735.27415840570336</v>
      </c>
      <c r="T23" s="42">
        <f t="shared" si="17"/>
        <v>3433.7872762807788</v>
      </c>
      <c r="U23" s="42">
        <f t="shared" si="18"/>
        <v>187.41204875105458</v>
      </c>
      <c r="V23" s="42">
        <f t="shared" si="19"/>
        <v>3246.3752275297243</v>
      </c>
      <c r="W23" s="42">
        <f t="shared" si="20"/>
        <v>67199.967209865295</v>
      </c>
    </row>
    <row r="24" spans="1:27" x14ac:dyDescent="0.35">
      <c r="A24" s="10">
        <v>13</v>
      </c>
      <c r="B24" s="42">
        <f t="shared" si="2"/>
        <v>22.5</v>
      </c>
      <c r="C24" s="42">
        <v>23.4</v>
      </c>
      <c r="D24" s="42">
        <f t="shared" si="3"/>
        <v>0.52</v>
      </c>
      <c r="E24" s="42">
        <f t="shared" si="0"/>
        <v>2.6005405854715513</v>
      </c>
      <c r="F24" s="42">
        <f t="shared" si="1"/>
        <v>0.25107294355112475</v>
      </c>
      <c r="G24" s="42">
        <f t="shared" si="4"/>
        <v>14.385420015405808</v>
      </c>
      <c r="H24" s="42">
        <f t="shared" si="5"/>
        <v>144.9965840118366</v>
      </c>
      <c r="I24" s="42">
        <f t="shared" si="6"/>
        <v>4.5461629289822172</v>
      </c>
      <c r="J24" s="42">
        <f t="shared" si="7"/>
        <v>5.573162164280058</v>
      </c>
      <c r="K24" s="42">
        <f t="shared" si="8"/>
        <v>3.7984500984492458E-3</v>
      </c>
      <c r="L24" s="42">
        <f t="shared" si="9"/>
        <v>0.99758182574795895</v>
      </c>
      <c r="M24" s="42">
        <f t="shared" si="10"/>
        <v>9.6472573633153202E-2</v>
      </c>
      <c r="N24" s="42">
        <f t="shared" si="11"/>
        <v>0.31977573131527154</v>
      </c>
      <c r="O24" s="42">
        <f t="shared" si="12"/>
        <v>0.26698280360026488</v>
      </c>
      <c r="P24" s="42">
        <f t="shared" si="13"/>
        <v>1.1977390566099901</v>
      </c>
      <c r="Q24" s="42">
        <f t="shared" si="14"/>
        <v>35.107297903865941</v>
      </c>
      <c r="R24" s="42">
        <f t="shared" si="15"/>
        <v>37.613459906139852</v>
      </c>
      <c r="S24" s="42">
        <f t="shared" si="16"/>
        <v>848.8634196664741</v>
      </c>
      <c r="T24" s="42">
        <f t="shared" si="17"/>
        <v>3445.0359164905676</v>
      </c>
      <c r="U24" s="42">
        <f t="shared" si="18"/>
        <v>201.85608678765013</v>
      </c>
      <c r="V24" s="42">
        <f t="shared" si="19"/>
        <v>3243.1798297029177</v>
      </c>
      <c r="W24" s="42">
        <f t="shared" si="20"/>
        <v>72971.546168315646</v>
      </c>
    </row>
    <row r="25" spans="1:27" x14ac:dyDescent="0.35">
      <c r="A25" s="10">
        <v>14</v>
      </c>
      <c r="B25" s="42">
        <f t="shared" si="2"/>
        <v>24.299999999999997</v>
      </c>
      <c r="C25" s="42">
        <v>25.2</v>
      </c>
      <c r="D25" s="42">
        <f t="shared" si="3"/>
        <v>0.55999999999999994</v>
      </c>
      <c r="E25" s="42">
        <f t="shared" si="0"/>
        <v>2.8085838323092749</v>
      </c>
      <c r="F25" s="42">
        <f t="shared" si="1"/>
        <v>0.23316677057561963</v>
      </c>
      <c r="G25" s="42">
        <f t="shared" si="4"/>
        <v>13.359471876678153</v>
      </c>
      <c r="H25" s="42">
        <f t="shared" si="5"/>
        <v>156.59631073278351</v>
      </c>
      <c r="I25" s="42">
        <f t="shared" si="6"/>
        <v>4.2375648316533034</v>
      </c>
      <c r="J25" s="42">
        <f t="shared" si="7"/>
        <v>5.1007214000528904</v>
      </c>
      <c r="K25" s="42">
        <f t="shared" si="8"/>
        <v>6.092349958267837E-3</v>
      </c>
      <c r="L25" s="42">
        <f t="shared" si="9"/>
        <v>0.99612146556304693</v>
      </c>
      <c r="M25" s="42">
        <f t="shared" si="10"/>
        <v>8.3262887608641811E-2</v>
      </c>
      <c r="N25" s="42">
        <f t="shared" si="11"/>
        <v>0.29828175664240031</v>
      </c>
      <c r="O25" s="42">
        <f t="shared" si="12"/>
        <v>0.24676139705817854</v>
      </c>
      <c r="P25" s="42">
        <f t="shared" si="13"/>
        <v>1.2087861399652997</v>
      </c>
      <c r="Q25" s="42">
        <f t="shared" si="14"/>
        <v>37.915881736175209</v>
      </c>
      <c r="R25" s="42">
        <f t="shared" si="15"/>
        <v>40.247535177096559</v>
      </c>
      <c r="S25" s="42">
        <f t="shared" si="16"/>
        <v>971.91845269897487</v>
      </c>
      <c r="T25" s="42">
        <f t="shared" si="17"/>
        <v>3450.9702481750805</v>
      </c>
      <c r="U25" s="42">
        <f t="shared" si="18"/>
        <v>216.38432951260464</v>
      </c>
      <c r="V25" s="42">
        <f t="shared" si="19"/>
        <v>3234.5859186624757</v>
      </c>
      <c r="W25" s="42">
        <f t="shared" si="20"/>
        <v>78600.437823498156</v>
      </c>
    </row>
    <row r="26" spans="1:27" x14ac:dyDescent="0.35">
      <c r="A26" s="10">
        <v>15</v>
      </c>
      <c r="B26" s="42">
        <f t="shared" si="2"/>
        <v>26.1</v>
      </c>
      <c r="C26" s="42">
        <v>27</v>
      </c>
      <c r="D26" s="42">
        <f t="shared" si="3"/>
        <v>0.6</v>
      </c>
      <c r="E26" s="42">
        <f t="shared" si="0"/>
        <v>3.0166270791469993</v>
      </c>
      <c r="F26" s="42">
        <f t="shared" si="1"/>
        <v>0.21760678728137675</v>
      </c>
      <c r="G26" s="42">
        <f t="shared" si="4"/>
        <v>12.467950504623969</v>
      </c>
      <c r="H26" s="42">
        <f t="shared" si="5"/>
        <v>168.19603745373047</v>
      </c>
      <c r="I26" s="42">
        <f t="shared" si="6"/>
        <v>3.9665799286777852</v>
      </c>
      <c r="J26" s="42">
        <f t="shared" si="7"/>
        <v>4.6319140602377615</v>
      </c>
      <c r="K26" s="42">
        <f t="shared" si="8"/>
        <v>9.736105763318334E-3</v>
      </c>
      <c r="L26" s="42">
        <f t="shared" si="9"/>
        <v>0.99380170463802975</v>
      </c>
      <c r="M26" s="42">
        <f t="shared" si="10"/>
        <v>7.2563310668754849E-2</v>
      </c>
      <c r="N26" s="42">
        <f t="shared" si="11"/>
        <v>0.27904790579175037</v>
      </c>
      <c r="O26" s="42">
        <f t="shared" si="12"/>
        <v>0.22940014130313513</v>
      </c>
      <c r="P26" s="42">
        <f t="shared" si="13"/>
        <v>1.2164242977645312</v>
      </c>
      <c r="Q26" s="42">
        <f t="shared" si="14"/>
        <v>40.72446556848449</v>
      </c>
      <c r="R26" s="42">
        <f t="shared" si="15"/>
        <v>42.903753866517071</v>
      </c>
      <c r="S26" s="42">
        <f t="shared" si="16"/>
        <v>1104.439257503207</v>
      </c>
      <c r="T26" s="42">
        <f t="shared" si="17"/>
        <v>3451.4683362513852</v>
      </c>
      <c r="U26" s="42">
        <f t="shared" si="18"/>
        <v>230.98676867782956</v>
      </c>
      <c r="V26" s="42">
        <f t="shared" si="19"/>
        <v>3220.4815675735554</v>
      </c>
      <c r="W26" s="42">
        <f t="shared" si="20"/>
        <v>84054.568913669806</v>
      </c>
    </row>
    <row r="27" spans="1:27" x14ac:dyDescent="0.35">
      <c r="A27" s="10">
        <v>16</v>
      </c>
      <c r="B27" s="42">
        <f t="shared" si="2"/>
        <v>27.9</v>
      </c>
      <c r="C27" s="42">
        <v>28.8</v>
      </c>
      <c r="D27" s="42">
        <f t="shared" si="3"/>
        <v>0.64</v>
      </c>
      <c r="E27" s="42">
        <f t="shared" si="0"/>
        <v>3.2246703259847229</v>
      </c>
      <c r="F27" s="42">
        <f t="shared" si="1"/>
        <v>0.20396648156376482</v>
      </c>
      <c r="G27" s="42">
        <f t="shared" si="4"/>
        <v>11.686418555736639</v>
      </c>
      <c r="H27" s="42">
        <f t="shared" si="5"/>
        <v>179.79576417467737</v>
      </c>
      <c r="I27" s="42">
        <f t="shared" si="6"/>
        <v>3.7270130057447659</v>
      </c>
      <c r="J27" s="42">
        <f t="shared" si="7"/>
        <v>4.1655317128124301</v>
      </c>
      <c r="K27" s="42">
        <f t="shared" si="8"/>
        <v>1.5521459746599665E-2</v>
      </c>
      <c r="L27" s="42">
        <f t="shared" si="9"/>
        <v>0.99011833502749358</v>
      </c>
      <c r="M27" s="42">
        <f t="shared" si="10"/>
        <v>6.3781993852909891E-2</v>
      </c>
      <c r="N27" s="42">
        <f t="shared" si="11"/>
        <v>0.2615998534066391</v>
      </c>
      <c r="O27" s="42">
        <f t="shared" si="12"/>
        <v>0.21433178952701637</v>
      </c>
      <c r="P27" s="42">
        <f t="shared" si="13"/>
        <v>1.2205368787520183</v>
      </c>
      <c r="Q27" s="42">
        <f t="shared" si="14"/>
        <v>43.533049400793757</v>
      </c>
      <c r="R27" s="42">
        <f t="shared" si="15"/>
        <v>45.578244702181649</v>
      </c>
      <c r="S27" s="42">
        <f t="shared" si="16"/>
        <v>1246.4258340791698</v>
      </c>
      <c r="T27" s="42">
        <f t="shared" si="17"/>
        <v>3445.4254054296221</v>
      </c>
      <c r="U27" s="42">
        <f t="shared" si="18"/>
        <v>245.65405524844454</v>
      </c>
      <c r="V27" s="42">
        <f t="shared" si="19"/>
        <v>3199.7713501811777</v>
      </c>
      <c r="W27" s="42">
        <f t="shared" si="20"/>
        <v>89273.62067005485</v>
      </c>
    </row>
    <row r="28" spans="1:27" x14ac:dyDescent="0.35">
      <c r="A28" s="50">
        <v>17</v>
      </c>
      <c r="B28" s="42">
        <f t="shared" si="2"/>
        <v>29.700000000000003</v>
      </c>
      <c r="C28" s="42">
        <v>30.6</v>
      </c>
      <c r="D28" s="42">
        <f t="shared" si="3"/>
        <v>0.68</v>
      </c>
      <c r="E28" s="42">
        <f t="shared" si="0"/>
        <v>3.4327135728224474</v>
      </c>
      <c r="F28" s="42">
        <f t="shared" si="1"/>
        <v>0.1919154991239638</v>
      </c>
      <c r="G28" s="42">
        <f t="shared" si="4"/>
        <v>10.995948122949773</v>
      </c>
      <c r="H28" s="42">
        <f t="shared" si="5"/>
        <v>191.39549089562433</v>
      </c>
      <c r="I28" s="42">
        <f t="shared" si="6"/>
        <v>3.5138920711898121</v>
      </c>
      <c r="J28" s="42">
        <f t="shared" si="7"/>
        <v>3.7007650389621651</v>
      </c>
      <c r="K28" s="42">
        <f t="shared" si="8"/>
        <v>2.4704619242612576E-2</v>
      </c>
      <c r="L28" s="42">
        <f t="shared" si="9"/>
        <v>0.9842709506903754</v>
      </c>
      <c r="M28" s="42">
        <f t="shared" si="10"/>
        <v>5.6490231577906738E-2</v>
      </c>
      <c r="N28" s="42">
        <f t="shared" si="11"/>
        <v>0.24547781549398315</v>
      </c>
      <c r="O28" s="42">
        <f t="shared" si="12"/>
        <v>0.20112956286128184</v>
      </c>
      <c r="P28" s="42">
        <f t="shared" si="13"/>
        <v>1.2204959430220017</v>
      </c>
      <c r="Q28" s="42">
        <f t="shared" si="14"/>
        <v>46.341633233103039</v>
      </c>
      <c r="R28" s="42">
        <f t="shared" si="15"/>
        <v>48.267970443260197</v>
      </c>
      <c r="S28" s="42">
        <f t="shared" si="16"/>
        <v>1397.8781824268638</v>
      </c>
      <c r="T28" s="42">
        <f t="shared" si="17"/>
        <v>3430.489951498585</v>
      </c>
      <c r="U28" s="42">
        <f t="shared" si="18"/>
        <v>260.37785790414921</v>
      </c>
      <c r="V28" s="42">
        <f t="shared" si="19"/>
        <v>3170.1120935944359</v>
      </c>
      <c r="W28" s="42">
        <f t="shared" si="20"/>
        <v>94152.329179754757</v>
      </c>
    </row>
    <row r="29" spans="1:27" x14ac:dyDescent="0.35">
      <c r="A29" s="50">
        <v>18</v>
      </c>
      <c r="B29" s="42">
        <f t="shared" si="2"/>
        <v>31.5</v>
      </c>
      <c r="C29" s="42">
        <v>32.4</v>
      </c>
      <c r="D29" s="42">
        <f t="shared" si="3"/>
        <v>0.72</v>
      </c>
      <c r="E29" s="42">
        <f t="shared" si="0"/>
        <v>3.6407568196601714</v>
      </c>
      <c r="F29" s="42">
        <f t="shared" si="1"/>
        <v>0.1811943216870108</v>
      </c>
      <c r="G29" s="42">
        <f t="shared" si="4"/>
        <v>10.381669904401482</v>
      </c>
      <c r="H29" s="42">
        <f t="shared" si="5"/>
        <v>202.99521761657124</v>
      </c>
      <c r="I29" s="42">
        <f t="shared" si="6"/>
        <v>3.3231997401633415</v>
      </c>
      <c r="J29" s="42">
        <f t="shared" si="7"/>
        <v>3.2370635925773747</v>
      </c>
      <c r="K29" s="42">
        <f t="shared" si="8"/>
        <v>3.9279065261760636E-2</v>
      </c>
      <c r="L29" s="42">
        <f t="shared" si="9"/>
        <v>0.97498773592618293</v>
      </c>
      <c r="M29" s="42">
        <f t="shared" si="10"/>
        <v>5.0371777669399813E-2</v>
      </c>
      <c r="N29" s="42">
        <f t="shared" si="11"/>
        <v>0.23019736118156556</v>
      </c>
      <c r="O29" s="42">
        <f t="shared" si="12"/>
        <v>0.18946634372730589</v>
      </c>
      <c r="P29" s="42">
        <f t="shared" si="13"/>
        <v>1.2149775873275033</v>
      </c>
      <c r="Q29" s="42">
        <f t="shared" si="14"/>
        <v>49.150217065412313</v>
      </c>
      <c r="R29" s="42">
        <f t="shared" si="15"/>
        <v>50.970519298680365</v>
      </c>
      <c r="S29" s="42">
        <f t="shared" si="16"/>
        <v>1558.7963025462884</v>
      </c>
      <c r="T29" s="42">
        <f t="shared" si="17"/>
        <v>3402.5216417841325</v>
      </c>
      <c r="U29" s="42">
        <f t="shared" si="18"/>
        <v>275.15092205160238</v>
      </c>
      <c r="V29" s="42">
        <f t="shared" si="19"/>
        <v>3127.3707197325302</v>
      </c>
      <c r="W29" s="42">
        <f t="shared" si="20"/>
        <v>98512.177671574696</v>
      </c>
    </row>
    <row r="30" spans="1:27" x14ac:dyDescent="0.35">
      <c r="A30" s="50">
        <v>19</v>
      </c>
      <c r="B30" s="42">
        <f t="shared" si="2"/>
        <v>33.299999999999997</v>
      </c>
      <c r="C30" s="42">
        <v>34.200000000000003</v>
      </c>
      <c r="D30" s="42">
        <f t="shared" si="3"/>
        <v>0.76</v>
      </c>
      <c r="E30" s="42">
        <f t="shared" si="0"/>
        <v>3.848800066497895</v>
      </c>
      <c r="F30" s="42">
        <f t="shared" si="1"/>
        <v>0.17159645087610648</v>
      </c>
      <c r="G30" s="42">
        <f t="shared" si="4"/>
        <v>9.8317524146248587</v>
      </c>
      <c r="H30" s="42">
        <f t="shared" si="5"/>
        <v>214.59494433751814</v>
      </c>
      <c r="I30" s="42">
        <f t="shared" si="6"/>
        <v>3.1516658697128284</v>
      </c>
      <c r="J30" s="42">
        <f t="shared" si="7"/>
        <v>2.77404836178281</v>
      </c>
      <c r="K30" s="42">
        <f t="shared" si="8"/>
        <v>6.2408839075790805E-2</v>
      </c>
      <c r="L30" s="42">
        <f t="shared" si="9"/>
        <v>0.96024346282449424</v>
      </c>
      <c r="M30" s="42">
        <f t="shared" si="10"/>
        <v>4.5189477670163423E-2</v>
      </c>
      <c r="N30" s="42">
        <f t="shared" si="11"/>
        <v>0.21519633086049406</v>
      </c>
      <c r="O30" s="42">
        <f t="shared" si="12"/>
        <v>0.17908725234501119</v>
      </c>
      <c r="P30" s="42">
        <f t="shared" si="13"/>
        <v>1.2016284132045245</v>
      </c>
      <c r="Q30" s="42">
        <f t="shared" si="14"/>
        <v>51.958800897721581</v>
      </c>
      <c r="R30" s="42">
        <f t="shared" si="15"/>
        <v>53.683954686005322</v>
      </c>
      <c r="S30" s="42">
        <f t="shared" si="16"/>
        <v>1729.1801944374436</v>
      </c>
      <c r="T30" s="42">
        <f t="shared" si="17"/>
        <v>3354.6463658545849</v>
      </c>
      <c r="U30" s="42">
        <f t="shared" si="18"/>
        <v>289.96700235120301</v>
      </c>
      <c r="V30" s="42">
        <f t="shared" si="19"/>
        <v>3064.6793635033819</v>
      </c>
      <c r="W30" s="42">
        <f t="shared" si="20"/>
        <v>102053.8228046626</v>
      </c>
    </row>
    <row r="31" spans="1:27" x14ac:dyDescent="0.35">
      <c r="A31" s="50">
        <v>20</v>
      </c>
      <c r="B31" s="42">
        <f t="shared" si="2"/>
        <v>35.1</v>
      </c>
      <c r="C31" s="42">
        <v>36</v>
      </c>
      <c r="D31" s="42">
        <f t="shared" si="3"/>
        <v>0.8</v>
      </c>
      <c r="E31" s="42">
        <f t="shared" si="0"/>
        <v>4.0568433133356194</v>
      </c>
      <c r="F31" s="42">
        <f t="shared" si="1"/>
        <v>0.16295565541777557</v>
      </c>
      <c r="G31" s="42">
        <f t="shared" si="4"/>
        <v>9.3366713032266873</v>
      </c>
      <c r="H31" s="42">
        <f t="shared" si="5"/>
        <v>226.19467105846508</v>
      </c>
      <c r="I31" s="42">
        <f t="shared" si="6"/>
        <v>2.9966084123847572</v>
      </c>
      <c r="J31" s="42">
        <f t="shared" si="7"/>
        <v>2.3114559249041355</v>
      </c>
      <c r="K31" s="42">
        <f t="shared" si="8"/>
        <v>9.9116839783344429E-2</v>
      </c>
      <c r="L31" s="42">
        <f t="shared" si="9"/>
        <v>0.93679648371703317</v>
      </c>
      <c r="M31" s="42">
        <f t="shared" si="10"/>
        <v>4.0762824046306913E-2</v>
      </c>
      <c r="N31" s="42">
        <f t="shared" si="11"/>
        <v>0.19975753919009501</v>
      </c>
      <c r="O31" s="42">
        <f t="shared" si="12"/>
        <v>0.16979077680048835</v>
      </c>
      <c r="P31" s="42">
        <f t="shared" si="13"/>
        <v>1.1764922862966751</v>
      </c>
      <c r="Q31" s="42">
        <f t="shared" si="14"/>
        <v>54.767384730030862</v>
      </c>
      <c r="R31" s="42">
        <f t="shared" si="15"/>
        <v>56.406705542579047</v>
      </c>
      <c r="S31" s="42">
        <f t="shared" si="16"/>
        <v>1909.0298581003306</v>
      </c>
      <c r="T31" s="42">
        <f t="shared" si="17"/>
        <v>3275.6591534830318</v>
      </c>
      <c r="U31" s="42">
        <f t="shared" si="18"/>
        <v>304.82074957334987</v>
      </c>
      <c r="V31" s="42">
        <f t="shared" si="19"/>
        <v>2970.8384039096818</v>
      </c>
      <c r="W31" s="42">
        <f t="shared" si="20"/>
        <v>104276.42797722983</v>
      </c>
      <c r="Y31" s="115" t="s">
        <v>94</v>
      </c>
      <c r="Z31" s="115"/>
      <c r="AA31" s="115"/>
    </row>
    <row r="32" spans="1:27" x14ac:dyDescent="0.35">
      <c r="A32" s="10">
        <v>21</v>
      </c>
      <c r="B32" s="42">
        <f t="shared" si="2"/>
        <v>36.9</v>
      </c>
      <c r="C32" s="42">
        <v>37.799999999999997</v>
      </c>
      <c r="D32" s="42">
        <f t="shared" si="3"/>
        <v>0.84</v>
      </c>
      <c r="E32" s="42">
        <f t="shared" si="0"/>
        <v>4.2648865601733439</v>
      </c>
      <c r="F32" s="42">
        <f t="shared" si="1"/>
        <v>0.1551366961995907</v>
      </c>
      <c r="G32" s="42">
        <f t="shared" si="4"/>
        <v>8.8886779398397842</v>
      </c>
      <c r="H32" s="42">
        <f t="shared" si="5"/>
        <v>237.79439777941201</v>
      </c>
      <c r="I32" s="42">
        <f t="shared" si="6"/>
        <v>2.8558112311644277</v>
      </c>
      <c r="J32" s="42">
        <f t="shared" si="7"/>
        <v>1.8491020198986574</v>
      </c>
      <c r="K32" s="42">
        <f t="shared" si="8"/>
        <v>0.15737842557467926</v>
      </c>
      <c r="L32" s="42">
        <f t="shared" si="9"/>
        <v>0.89939151906790782</v>
      </c>
      <c r="M32" s="42">
        <f t="shared" si="10"/>
        <v>3.6952558859932524E-2</v>
      </c>
      <c r="N32" s="42">
        <f t="shared" si="11"/>
        <v>0.18288447008781064</v>
      </c>
      <c r="O32" s="42">
        <f t="shared" si="12"/>
        <v>0.1614155103056879</v>
      </c>
      <c r="P32" s="42">
        <f t="shared" si="13"/>
        <v>1.1330043175000031</v>
      </c>
      <c r="Q32" s="42">
        <f t="shared" si="14"/>
        <v>57.575968562340137</v>
      </c>
      <c r="R32" s="42">
        <f t="shared" si="15"/>
        <v>59.137485200941541</v>
      </c>
      <c r="S32" s="42">
        <f t="shared" si="16"/>
        <v>2098.3452935349478</v>
      </c>
      <c r="T32" s="42">
        <f t="shared" si="17"/>
        <v>3147.243567216462</v>
      </c>
      <c r="U32" s="42">
        <f t="shared" si="18"/>
        <v>319.70758869504402</v>
      </c>
      <c r="V32" s="42">
        <f t="shared" si="19"/>
        <v>2827.5359785214177</v>
      </c>
      <c r="W32" s="42">
        <f t="shared" si="20"/>
        <v>104336.07760744031</v>
      </c>
      <c r="Y32" s="116" t="s">
        <v>95</v>
      </c>
      <c r="Z32" s="33">
        <f>SUM(W12:W36)</f>
        <v>1460579.5995166432</v>
      </c>
      <c r="AA32" s="33"/>
    </row>
    <row r="33" spans="1:27" x14ac:dyDescent="0.35">
      <c r="A33" s="10">
        <v>22</v>
      </c>
      <c r="B33" s="42">
        <f t="shared" si="2"/>
        <v>38.700000000000003</v>
      </c>
      <c r="C33" s="42">
        <v>39.6</v>
      </c>
      <c r="D33" s="42">
        <f t="shared" si="3"/>
        <v>0.88</v>
      </c>
      <c r="E33" s="42">
        <f t="shared" si="0"/>
        <v>4.4729298070110683</v>
      </c>
      <c r="F33" s="42">
        <f t="shared" si="1"/>
        <v>0.14802848085403644</v>
      </c>
      <c r="G33" s="42">
        <f t="shared" si="4"/>
        <v>8.4814072006694001</v>
      </c>
      <c r="H33" s="42">
        <f t="shared" si="5"/>
        <v>249.39412450035894</v>
      </c>
      <c r="I33" s="42">
        <f t="shared" si="6"/>
        <v>2.7274299439741454</v>
      </c>
      <c r="J33" s="42">
        <f t="shared" si="7"/>
        <v>1.3868573276396263</v>
      </c>
      <c r="K33" s="42">
        <f t="shared" si="8"/>
        <v>0.24985929797904569</v>
      </c>
      <c r="L33" s="42">
        <f t="shared" si="9"/>
        <v>0.83923126306225948</v>
      </c>
      <c r="M33" s="42">
        <f t="shared" si="10"/>
        <v>3.3649919187622973E-2</v>
      </c>
      <c r="N33" s="42">
        <f t="shared" si="11"/>
        <v>0.16306780394811132</v>
      </c>
      <c r="O33" s="42">
        <f t="shared" si="12"/>
        <v>0.15383064958324208</v>
      </c>
      <c r="P33" s="42">
        <f t="shared" si="13"/>
        <v>1.0600475548266521</v>
      </c>
      <c r="Q33" s="42">
        <f t="shared" si="14"/>
        <v>60.384552394649418</v>
      </c>
      <c r="R33" s="42">
        <f t="shared" si="15"/>
        <v>61.875230649284539</v>
      </c>
      <c r="S33" s="42">
        <f t="shared" si="16"/>
        <v>2297.1265007412962</v>
      </c>
      <c r="T33" s="42">
        <f t="shared" si="17"/>
        <v>2938.6182205900104</v>
      </c>
      <c r="U33" s="42">
        <f t="shared" si="18"/>
        <v>334.62360413586197</v>
      </c>
      <c r="V33" s="42">
        <f t="shared" si="19"/>
        <v>2603.9946164541484</v>
      </c>
      <c r="W33" s="42">
        <f t="shared" si="20"/>
        <v>100774.59165677555</v>
      </c>
      <c r="Y33" s="116"/>
      <c r="Z33" s="33">
        <f>Z32-(W12/2)-(W36/2)</f>
        <v>1468893.813611506</v>
      </c>
      <c r="AA33" s="33"/>
    </row>
    <row r="34" spans="1:27" x14ac:dyDescent="0.35">
      <c r="A34" s="10">
        <v>23</v>
      </c>
      <c r="B34" s="42">
        <f t="shared" si="2"/>
        <v>40.5</v>
      </c>
      <c r="C34" s="42">
        <v>41.4</v>
      </c>
      <c r="D34" s="42">
        <f t="shared" si="3"/>
        <v>0.91999999999999993</v>
      </c>
      <c r="E34" s="42">
        <f t="shared" si="0"/>
        <v>4.6809730538487919</v>
      </c>
      <c r="F34" s="42">
        <f t="shared" si="1"/>
        <v>0.14153894247623514</v>
      </c>
      <c r="G34" s="42">
        <f t="shared" si="4"/>
        <v>8.1095840406332105</v>
      </c>
      <c r="H34" s="42">
        <f t="shared" si="5"/>
        <v>260.99385122130587</v>
      </c>
      <c r="I34" s="42">
        <f t="shared" si="6"/>
        <v>2.609918967632797</v>
      </c>
      <c r="J34" s="42">
        <f t="shared" si="7"/>
        <v>0.92463110337566234</v>
      </c>
      <c r="K34" s="42">
        <f t="shared" si="8"/>
        <v>0.39667772516118494</v>
      </c>
      <c r="L34" s="42">
        <f t="shared" si="9"/>
        <v>0.74032610402693932</v>
      </c>
      <c r="M34" s="42">
        <f t="shared" si="10"/>
        <v>3.0769000353189337E-2</v>
      </c>
      <c r="N34" s="42">
        <f t="shared" si="11"/>
        <v>0.13771696256313856</v>
      </c>
      <c r="O34" s="42">
        <f t="shared" si="12"/>
        <v>0.1469290691903786</v>
      </c>
      <c r="P34" s="42">
        <f t="shared" si="13"/>
        <v>0.93730235495262171</v>
      </c>
      <c r="Q34" s="42">
        <f t="shared" si="14"/>
        <v>63.193136226958686</v>
      </c>
      <c r="R34" s="42">
        <f t="shared" si="15"/>
        <v>64.619056525137836</v>
      </c>
      <c r="S34" s="42">
        <f t="shared" si="16"/>
        <v>2505.3734797193752</v>
      </c>
      <c r="T34" s="42">
        <f t="shared" si="17"/>
        <v>2593.7336877789839</v>
      </c>
      <c r="U34" s="42">
        <f t="shared" si="18"/>
        <v>349.56543803729062</v>
      </c>
      <c r="V34" s="42">
        <f t="shared" si="19"/>
        <v>2244.1682497416932</v>
      </c>
      <c r="W34" s="42">
        <f t="shared" si="20"/>
        <v>90888.814114538574</v>
      </c>
      <c r="Y34" s="113" t="s">
        <v>96</v>
      </c>
      <c r="Z34" s="114">
        <f>Z33*1.8</f>
        <v>2644008.8645007107</v>
      </c>
      <c r="AA34" s="114" t="s">
        <v>97</v>
      </c>
    </row>
    <row r="35" spans="1:27" x14ac:dyDescent="0.35">
      <c r="A35" s="10">
        <v>24</v>
      </c>
      <c r="B35" s="42">
        <f t="shared" si="2"/>
        <v>42.3</v>
      </c>
      <c r="C35" s="42">
        <v>43.2</v>
      </c>
      <c r="D35" s="42">
        <f t="shared" si="3"/>
        <v>0.96000000000000008</v>
      </c>
      <c r="E35" s="42">
        <f t="shared" si="0"/>
        <v>4.8890163006865146</v>
      </c>
      <c r="F35" s="42">
        <f t="shared" si="1"/>
        <v>0.13559115993862603</v>
      </c>
      <c r="G35" s="42">
        <f t="shared" si="4"/>
        <v>7.7688012037665981</v>
      </c>
      <c r="H35" s="42">
        <f t="shared" si="5"/>
        <v>272.59357794225281</v>
      </c>
      <c r="I35" s="42">
        <f t="shared" si="6"/>
        <v>2.5019746229347781</v>
      </c>
      <c r="J35" s="42">
        <f t="shared" si="7"/>
        <v>0.46235994755143323</v>
      </c>
      <c r="K35" s="42">
        <f t="shared" si="8"/>
        <v>0.62979560575195825</v>
      </c>
      <c r="L35" s="42">
        <f t="shared" si="9"/>
        <v>0.56627728545771283</v>
      </c>
      <c r="M35" s="42">
        <f t="shared" si="10"/>
        <v>2.8241250264578081E-2</v>
      </c>
      <c r="N35" s="42">
        <f t="shared" si="11"/>
        <v>0.10102494921956071</v>
      </c>
      <c r="O35" s="42">
        <f t="shared" si="12"/>
        <v>0.14062219377542229</v>
      </c>
      <c r="P35" s="42">
        <f t="shared" si="13"/>
        <v>0.71841397511477079</v>
      </c>
      <c r="Q35" s="42">
        <f t="shared" si="14"/>
        <v>66.001720059267953</v>
      </c>
      <c r="R35" s="42">
        <f t="shared" si="15"/>
        <v>67.368219887287907</v>
      </c>
      <c r="S35" s="42">
        <f t="shared" si="16"/>
        <v>2723.0862304691846</v>
      </c>
      <c r="T35" s="42">
        <f t="shared" si="17"/>
        <v>1984.9068602920725</v>
      </c>
      <c r="U35" s="42">
        <f t="shared" si="18"/>
        <v>364.53020284796031</v>
      </c>
      <c r="V35" s="42">
        <f t="shared" si="19"/>
        <v>1620.3766574441122</v>
      </c>
      <c r="W35" s="42">
        <f t="shared" si="20"/>
        <v>68541.932609885946</v>
      </c>
      <c r="Y35" s="113"/>
      <c r="Z35" s="114"/>
      <c r="AA35" s="114"/>
    </row>
    <row r="36" spans="1:27" x14ac:dyDescent="0.35">
      <c r="A36" s="10">
        <v>25</v>
      </c>
      <c r="B36" s="42">
        <f t="shared" si="2"/>
        <v>44.1</v>
      </c>
      <c r="C36" s="42">
        <v>45</v>
      </c>
      <c r="D36" s="42">
        <f t="shared" si="3"/>
        <v>1</v>
      </c>
      <c r="E36" s="42">
        <f t="shared" si="0"/>
        <v>5.09705954752424</v>
      </c>
      <c r="F36" s="42">
        <f t="shared" si="1"/>
        <v>0.13012038456471869</v>
      </c>
      <c r="G36" s="42">
        <f t="shared" si="4"/>
        <v>7.4553488641776022</v>
      </c>
      <c r="H36" s="42">
        <f t="shared" si="5"/>
        <v>284.19330466319974</v>
      </c>
      <c r="I36" s="42">
        <f t="shared" si="6"/>
        <v>2.4024904586890123</v>
      </c>
      <c r="J36" s="42">
        <f t="shared" si="7"/>
        <v>0</v>
      </c>
      <c r="K36" s="42">
        <f t="shared" si="8"/>
        <v>1</v>
      </c>
      <c r="L36" s="42">
        <f t="shared" si="9"/>
        <v>0</v>
      </c>
      <c r="M36" s="42">
        <f t="shared" si="10"/>
        <v>2.6011444369487841E-2</v>
      </c>
      <c r="N36" s="42">
        <f t="shared" si="11"/>
        <v>0</v>
      </c>
      <c r="O36" s="42">
        <f t="shared" si="12"/>
        <v>0.13483614706556335</v>
      </c>
      <c r="P36" s="42">
        <f t="shared" si="13"/>
        <v>0</v>
      </c>
      <c r="Q36" s="42">
        <f t="shared" si="14"/>
        <v>68.810303891577234</v>
      </c>
      <c r="R36" s="42">
        <f t="shared" si="15"/>
        <v>70.122092963995371</v>
      </c>
      <c r="S36" s="42">
        <f t="shared" si="16"/>
        <v>2950.2647529907254</v>
      </c>
      <c r="T36" s="42">
        <f t="shared" si="17"/>
        <v>0</v>
      </c>
      <c r="U36" s="42">
        <f t="shared" si="18"/>
        <v>379.51540744371329</v>
      </c>
      <c r="V36" s="42">
        <f t="shared" si="19"/>
        <v>-379.51540744371329</v>
      </c>
      <c r="W36" s="42">
        <f t="shared" si="20"/>
        <v>-16736.629468267758</v>
      </c>
    </row>
  </sheetData>
  <mergeCells count="9">
    <mergeCell ref="Y32:Y33"/>
    <mergeCell ref="Y34:Y35"/>
    <mergeCell ref="Z34:Z35"/>
    <mergeCell ref="AA34:AA35"/>
    <mergeCell ref="O2:T2"/>
    <mergeCell ref="J10:L10"/>
    <mergeCell ref="H10:I10"/>
    <mergeCell ref="N10:P10"/>
    <mergeCell ref="Y31:AA31"/>
  </mergeCells>
  <pageMargins left="0.7" right="0.7" top="0.75" bottom="0.75" header="0.3" footer="0.3"/>
  <ignoredErrors>
    <ignoredError sqref="B12:B36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4AB0-1544-4118-88D6-BC81D6779121}">
  <dimension ref="A1:AG130"/>
  <sheetViews>
    <sheetView topLeftCell="D46" zoomScale="70" zoomScaleNormal="70" workbookViewId="0">
      <selection activeCell="Q58" sqref="Q58:Q82"/>
    </sheetView>
  </sheetViews>
  <sheetFormatPr defaultRowHeight="14.5" x14ac:dyDescent="0.35"/>
  <cols>
    <col min="2" max="2" width="11.453125" bestFit="1" customWidth="1"/>
    <col min="3" max="3" width="20" customWidth="1"/>
    <col min="5" max="5" width="9.7265625" bestFit="1" customWidth="1"/>
    <col min="6" max="7" width="20.54296875" bestFit="1" customWidth="1"/>
    <col min="8" max="8" width="12.7265625" bestFit="1" customWidth="1"/>
    <col min="9" max="9" width="10.7265625" bestFit="1" customWidth="1"/>
    <col min="10" max="10" width="11.7265625" bestFit="1" customWidth="1"/>
    <col min="11" max="11" width="12.81640625" bestFit="1" customWidth="1"/>
    <col min="12" max="12" width="10.7265625" bestFit="1" customWidth="1"/>
    <col min="13" max="13" width="13.1796875" bestFit="1" customWidth="1"/>
    <col min="14" max="14" width="10.7265625" bestFit="1" customWidth="1"/>
    <col min="15" max="15" width="12.26953125" bestFit="1" customWidth="1"/>
    <col min="16" max="16" width="10.7265625" bestFit="1" customWidth="1"/>
    <col min="17" max="18" width="11.7265625" bestFit="1" customWidth="1"/>
    <col min="19" max="20" width="13.81640625" bestFit="1" customWidth="1"/>
    <col min="21" max="21" width="12.7265625" bestFit="1" customWidth="1"/>
    <col min="22" max="22" width="13.81640625" bestFit="1" customWidth="1"/>
    <col min="23" max="23" width="15" bestFit="1" customWidth="1"/>
    <col min="24" max="24" width="12.453125" bestFit="1" customWidth="1"/>
    <col min="28" max="28" width="20.81640625" bestFit="1" customWidth="1"/>
    <col min="29" max="30" width="15" bestFit="1" customWidth="1"/>
  </cols>
  <sheetData>
    <row r="1" spans="1:32" x14ac:dyDescent="0.35">
      <c r="C1" t="s">
        <v>119</v>
      </c>
      <c r="D1">
        <f>45</f>
        <v>45</v>
      </c>
    </row>
    <row r="2" spans="1:32" x14ac:dyDescent="0.35">
      <c r="C2" s="1" t="s">
        <v>51</v>
      </c>
      <c r="D2" s="34">
        <f>5.2</f>
        <v>5.2</v>
      </c>
      <c r="F2" s="1" t="s">
        <v>120</v>
      </c>
      <c r="G2">
        <f>1.3</f>
        <v>1.3</v>
      </c>
    </row>
    <row r="3" spans="1:32" x14ac:dyDescent="0.35">
      <c r="C3" s="1" t="s">
        <v>102</v>
      </c>
      <c r="D3" s="25">
        <f>RADIANS(10)</f>
        <v>0.17453292519943295</v>
      </c>
      <c r="F3" s="1" t="s">
        <v>102</v>
      </c>
      <c r="G3">
        <f>RADIANS(12)</f>
        <v>0.20943951023931956</v>
      </c>
      <c r="J3" s="94" t="s">
        <v>136</v>
      </c>
      <c r="K3" s="94"/>
      <c r="L3" s="94"/>
      <c r="M3" s="94"/>
      <c r="N3" s="94"/>
      <c r="X3" s="10" t="s">
        <v>137</v>
      </c>
      <c r="Y3" s="21">
        <f>16</f>
        <v>16</v>
      </c>
    </row>
    <row r="4" spans="1:32" x14ac:dyDescent="0.35">
      <c r="C4" s="1" t="s">
        <v>103</v>
      </c>
      <c r="D4" s="25">
        <f>13.5</f>
        <v>13.5</v>
      </c>
      <c r="F4" s="1" t="s">
        <v>104</v>
      </c>
      <c r="G4">
        <f>3</f>
        <v>3</v>
      </c>
      <c r="X4" s="10" t="s">
        <v>104</v>
      </c>
      <c r="Y4" s="21">
        <f>-24</f>
        <v>-24</v>
      </c>
    </row>
    <row r="5" spans="1:32" x14ac:dyDescent="0.35">
      <c r="C5" s="1" t="s">
        <v>80</v>
      </c>
      <c r="D5" s="25">
        <f>(2*PI()*14.9)/60</f>
        <v>1.5603243512829306</v>
      </c>
      <c r="F5" s="48" t="s">
        <v>123</v>
      </c>
      <c r="G5">
        <f>G4/2</f>
        <v>1.5</v>
      </c>
      <c r="X5" s="10" t="s">
        <v>138</v>
      </c>
      <c r="Y5" s="21" t="s">
        <v>139</v>
      </c>
    </row>
    <row r="6" spans="1:32" x14ac:dyDescent="0.35">
      <c r="C6" s="1" t="s">
        <v>124</v>
      </c>
      <c r="D6" s="25">
        <v>1.2</v>
      </c>
      <c r="F6" s="48"/>
      <c r="X6" s="10" t="s">
        <v>135</v>
      </c>
      <c r="Y6" s="21" t="s">
        <v>140</v>
      </c>
    </row>
    <row r="7" spans="1:32" x14ac:dyDescent="0.35">
      <c r="C7" s="1" t="s">
        <v>101</v>
      </c>
      <c r="D7" s="27">
        <f>(16*PI())/(3*1.3)</f>
        <v>12.888585245496586</v>
      </c>
    </row>
    <row r="8" spans="1:32" ht="18.5" x14ac:dyDescent="0.45">
      <c r="C8" s="1" t="s">
        <v>91</v>
      </c>
      <c r="D8" s="25">
        <f>RADIANS(10)</f>
        <v>0.17453292519943295</v>
      </c>
      <c r="X8" s="124" t="s">
        <v>147</v>
      </c>
      <c r="Y8" s="124"/>
      <c r="Z8" s="124"/>
      <c r="AA8" s="124"/>
      <c r="AB8" s="124"/>
      <c r="AC8" s="124"/>
      <c r="AD8" s="124"/>
      <c r="AE8" s="124"/>
      <c r="AF8" s="124"/>
    </row>
    <row r="10" spans="1:32" x14ac:dyDescent="0.35">
      <c r="A10" s="26" t="s">
        <v>125</v>
      </c>
      <c r="B10" s="26" t="s">
        <v>126</v>
      </c>
      <c r="C10" s="26" t="s">
        <v>55</v>
      </c>
      <c r="D10" s="26" t="s">
        <v>106</v>
      </c>
      <c r="E10" s="26" t="s">
        <v>141</v>
      </c>
      <c r="F10" s="26" t="s">
        <v>112</v>
      </c>
      <c r="G10" s="26" t="s">
        <v>127</v>
      </c>
      <c r="H10" s="118" t="s">
        <v>82</v>
      </c>
      <c r="I10" s="118"/>
      <c r="J10" s="118" t="s">
        <v>128</v>
      </c>
      <c r="K10" s="118"/>
      <c r="L10" s="118"/>
      <c r="M10" s="26" t="s">
        <v>129</v>
      </c>
      <c r="N10" s="118" t="s">
        <v>75</v>
      </c>
      <c r="O10" s="118"/>
      <c r="P10" s="118"/>
      <c r="Q10" s="26" t="s">
        <v>116</v>
      </c>
      <c r="R10" s="26" t="s">
        <v>130</v>
      </c>
      <c r="S10" s="26" t="s">
        <v>131</v>
      </c>
      <c r="T10" s="26" t="s">
        <v>114</v>
      </c>
      <c r="U10" s="26" t="s">
        <v>115</v>
      </c>
      <c r="V10" s="26" t="s">
        <v>89</v>
      </c>
      <c r="W10" s="26" t="s">
        <v>90</v>
      </c>
      <c r="X10" s="26" t="s">
        <v>138</v>
      </c>
      <c r="Y10" s="26" t="s">
        <v>135</v>
      </c>
      <c r="Z10" s="118" t="s">
        <v>142</v>
      </c>
      <c r="AA10" s="118"/>
      <c r="AB10" s="118"/>
      <c r="AC10" s="26" t="s">
        <v>143</v>
      </c>
      <c r="AE10" s="26" t="s">
        <v>146</v>
      </c>
      <c r="AF10" s="26" t="s">
        <v>90</v>
      </c>
    </row>
    <row r="11" spans="1:32" x14ac:dyDescent="0.35">
      <c r="A11" s="10"/>
      <c r="B11" s="21"/>
      <c r="C11" s="26">
        <v>0</v>
      </c>
      <c r="D11" s="26"/>
      <c r="E11" s="26"/>
      <c r="F11" s="26"/>
      <c r="G11" s="26"/>
      <c r="H11" s="26" t="s">
        <v>132</v>
      </c>
      <c r="I11" s="26" t="s">
        <v>82</v>
      </c>
      <c r="J11" s="26" t="s">
        <v>132</v>
      </c>
      <c r="K11" s="26" t="s">
        <v>133</v>
      </c>
      <c r="L11" s="26" t="s">
        <v>128</v>
      </c>
      <c r="M11" s="26"/>
      <c r="N11" s="26" t="s">
        <v>134</v>
      </c>
      <c r="O11" s="26" t="s">
        <v>135</v>
      </c>
      <c r="P11" s="26" t="s">
        <v>75</v>
      </c>
      <c r="Q11" s="26"/>
      <c r="R11" s="26"/>
      <c r="S11" s="26"/>
      <c r="T11" s="26"/>
      <c r="U11" s="26"/>
      <c r="V11" s="26"/>
      <c r="W11" s="26">
        <v>0</v>
      </c>
      <c r="X11" s="10"/>
      <c r="Y11" s="10"/>
      <c r="Z11" s="10"/>
      <c r="AA11" s="10"/>
      <c r="AB11" s="10"/>
      <c r="AC11" s="10"/>
      <c r="AE11" s="10"/>
      <c r="AF11" s="10"/>
    </row>
    <row r="12" spans="1:32" x14ac:dyDescent="0.35">
      <c r="A12" s="10">
        <v>1</v>
      </c>
      <c r="B12" s="21">
        <f>AVERAGE(C11:C12)</f>
        <v>0.9</v>
      </c>
      <c r="C12" s="21">
        <v>1.8</v>
      </c>
      <c r="D12" s="21">
        <f>C12/D$1</f>
        <v>0.04</v>
      </c>
      <c r="E12" s="22">
        <f>(D$5*C12)/D$4</f>
        <v>0.20804324683772407</v>
      </c>
      <c r="F12" s="22">
        <f t="shared" ref="F12:F36" si="0">(2*ATAN(1/E12))/3</f>
        <v>0.9104526489144521</v>
      </c>
      <c r="G12" s="22">
        <f>DEGREES(F12)</f>
        <v>52.165094229304195</v>
      </c>
      <c r="H12" s="22">
        <f t="shared" ref="H12:H36" si="1">(8*PI()*C12)/(G$4*G$2)</f>
        <v>11.599726720946927</v>
      </c>
      <c r="I12" s="22">
        <f>H12*(1-COS(F12))</f>
        <v>4.4845898511942721</v>
      </c>
      <c r="J12" s="22">
        <f t="shared" ref="J12:J36" si="2">(G$5*(1-D12))/(D12*SIN(F12))</f>
        <v>45.582229212490468</v>
      </c>
      <c r="K12" s="22">
        <f>EXP(-J12)</f>
        <v>1.5991506545450049E-20</v>
      </c>
      <c r="L12" s="22">
        <f>(2*ACOS(K12))/(PI())</f>
        <v>1</v>
      </c>
      <c r="M12" s="22">
        <f t="shared" ref="M12:M36" si="3">(G$4*I12)/(2*PI()*C12)</f>
        <v>1.189574404262193</v>
      </c>
      <c r="N12" s="22">
        <f t="shared" ref="N12:N36" si="4">4*L12*SIN(F12)*(COS(F12)-(E12*SIN(F12)))</f>
        <v>1.4186990413716565</v>
      </c>
      <c r="O12" s="22">
        <f t="shared" ref="O12:O36" si="5">M12*(SIN(F12)+(E12*COS(F12)))</f>
        <v>1.0913069549012744</v>
      </c>
      <c r="P12" s="22">
        <f>(N12/O12)</f>
        <v>1.2999999999999998</v>
      </c>
      <c r="Q12" s="22">
        <f>B12*D$5</f>
        <v>1.4042919161546374</v>
      </c>
      <c r="R12" s="22">
        <f t="shared" ref="R12:R36" si="6">((D$4*D$4)+(Q12*Q12))^(1/2)</f>
        <v>13.572841846340701</v>
      </c>
      <c r="S12" s="22">
        <f t="shared" ref="S12:S36" si="7">0.5*D$6*R12*R12</f>
        <v>110.53322147146635</v>
      </c>
      <c r="T12" s="22">
        <f>(S12*G$4*I12*P12*SIN(F12))</f>
        <v>1526.817413715391</v>
      </c>
      <c r="U12" s="22">
        <f>S12*G$4*I12*0.018*COS(F12)</f>
        <v>16.418928749827082</v>
      </c>
      <c r="V12" s="22">
        <f>T12-U12</f>
        <v>1510.398484965564</v>
      </c>
      <c r="W12" s="22">
        <f t="shared" ref="W12:W36" si="8">V12*B12</f>
        <v>1359.3586364690077</v>
      </c>
      <c r="X12" s="10">
        <f t="shared" ref="X12:X36" si="9">9-(3*E12*E12)</f>
        <v>8.8701540223356528</v>
      </c>
      <c r="Y12" s="10">
        <f t="shared" ref="Y12:Y36" si="10">(E12*E12)-1</f>
        <v>-0.95671800744521784</v>
      </c>
      <c r="Z12" s="58">
        <v>0.27500000000000002</v>
      </c>
      <c r="AA12" s="10">
        <v>0.215</v>
      </c>
      <c r="AB12" s="10">
        <v>1.0089999999999999</v>
      </c>
      <c r="AC12" s="10">
        <f>(1-(3*Z12))/((4*Z12)-1)</f>
        <v>1.7499999999999978</v>
      </c>
      <c r="AE12" s="10">
        <f>V12*1.8</f>
        <v>2718.7172729380154</v>
      </c>
      <c r="AF12" s="10">
        <f t="shared" ref="AF12:AF36" si="11">AE12*C12</f>
        <v>4893.6910912884277</v>
      </c>
    </row>
    <row r="13" spans="1:32" x14ac:dyDescent="0.35">
      <c r="A13" s="10">
        <v>2</v>
      </c>
      <c r="B13" s="21">
        <f t="shared" ref="B13:B36" si="12">AVERAGE(C12:C13)</f>
        <v>2.7</v>
      </c>
      <c r="C13" s="21">
        <v>3.6</v>
      </c>
      <c r="D13" s="21">
        <f t="shared" ref="D13:D36" si="13">C13/D$1</f>
        <v>0.08</v>
      </c>
      <c r="E13" s="22">
        <f t="shared" ref="E13:E36" si="14">(D$5*C13)/D$4</f>
        <v>0.41608649367544814</v>
      </c>
      <c r="F13" s="22">
        <f t="shared" si="0"/>
        <v>0.78433310499017994</v>
      </c>
      <c r="G13" s="22">
        <f t="shared" ref="G13:G36" si="15">DEGREES(F13)</f>
        <v>44.938976648328598</v>
      </c>
      <c r="H13" s="22">
        <f t="shared" si="1"/>
        <v>23.199453441893855</v>
      </c>
      <c r="I13" s="22">
        <f t="shared" ref="I13:I36" si="16">H13*(1-COS(F13))</f>
        <v>6.7775001599284401</v>
      </c>
      <c r="J13" s="22">
        <f t="shared" si="2"/>
        <v>24.421207809801999</v>
      </c>
      <c r="K13" s="22">
        <f t="shared" ref="K13:K36" si="17">EXP(-J13)</f>
        <v>2.477446055280559E-11</v>
      </c>
      <c r="L13" s="22">
        <f t="shared" ref="L13:L36" si="18">(2*ACOS(K13))/(PI())</f>
        <v>0.99999999998422817</v>
      </c>
      <c r="M13" s="22">
        <f t="shared" si="3"/>
        <v>0.89889387688226874</v>
      </c>
      <c r="N13" s="22">
        <f t="shared" si="4"/>
        <v>1.1695950995671709</v>
      </c>
      <c r="O13" s="22">
        <f t="shared" si="5"/>
        <v>0.8996885381427826</v>
      </c>
      <c r="P13" s="22">
        <f t="shared" ref="P13:P36" si="19">(N13/O13)</f>
        <v>1.2999999999794969</v>
      </c>
      <c r="Q13" s="22">
        <f t="shared" ref="Q13:Q36" si="20">B13*D$5</f>
        <v>4.2128757484639126</v>
      </c>
      <c r="R13" s="22">
        <f t="shared" si="6"/>
        <v>14.142076299893002</v>
      </c>
      <c r="S13" s="22">
        <f t="shared" si="7"/>
        <v>119.99899324319719</v>
      </c>
      <c r="T13" s="22">
        <f t="shared" ref="T13:T36" si="21">(S13*G$4*I13*P13*SIN(F13))</f>
        <v>2240.4420034928958</v>
      </c>
      <c r="U13" s="22">
        <f t="shared" ref="U13:U36" si="22">S13*G$4*I13*0.018*COS(F13)</f>
        <v>31.087654571461766</v>
      </c>
      <c r="V13" s="22">
        <f t="shared" ref="V13:V36" si="23">T13-U13</f>
        <v>2209.3543489214339</v>
      </c>
      <c r="W13" s="22">
        <f t="shared" si="8"/>
        <v>5965.2567420878722</v>
      </c>
      <c r="X13" s="10">
        <f t="shared" si="9"/>
        <v>8.4806160893426146</v>
      </c>
      <c r="Y13" s="10">
        <f t="shared" si="10"/>
        <v>-0.82687202978087126</v>
      </c>
      <c r="Z13" s="58">
        <v>0.28999999999999998</v>
      </c>
      <c r="AA13" s="10">
        <v>0.17</v>
      </c>
      <c r="AB13" s="10">
        <v>1.036</v>
      </c>
      <c r="AC13" s="10">
        <f t="shared" ref="AC13:AC36" si="24">(1-(3*Z13))/((4*Z13)-1)</f>
        <v>0.81250000000000111</v>
      </c>
      <c r="AE13" s="10">
        <f t="shared" ref="AE13:AE36" si="25">V13*1.8</f>
        <v>3976.8378280585812</v>
      </c>
      <c r="AF13" s="10">
        <f t="shared" si="11"/>
        <v>14316.616181010893</v>
      </c>
    </row>
    <row r="14" spans="1:32" x14ac:dyDescent="0.35">
      <c r="A14" s="10">
        <v>3</v>
      </c>
      <c r="B14" s="21">
        <f t="shared" si="12"/>
        <v>4.5</v>
      </c>
      <c r="C14" s="21">
        <v>5.4</v>
      </c>
      <c r="D14" s="21">
        <f t="shared" si="13"/>
        <v>0.12000000000000001</v>
      </c>
      <c r="E14" s="22">
        <f t="shared" si="14"/>
        <v>0.62412974051317227</v>
      </c>
      <c r="F14" s="22">
        <f t="shared" si="0"/>
        <v>0.67521537387314545</v>
      </c>
      <c r="G14" s="22">
        <f t="shared" si="15"/>
        <v>38.68699118527919</v>
      </c>
      <c r="H14" s="22">
        <f t="shared" si="1"/>
        <v>34.799180162840784</v>
      </c>
      <c r="I14" s="22">
        <f t="shared" si="16"/>
        <v>7.6359024478592925</v>
      </c>
      <c r="J14" s="22">
        <f t="shared" si="2"/>
        <v>17.598157230420075</v>
      </c>
      <c r="K14" s="22">
        <f t="shared" si="17"/>
        <v>2.2762367100908256E-8</v>
      </c>
      <c r="L14" s="22">
        <f t="shared" si="18"/>
        <v>0.99999998550902702</v>
      </c>
      <c r="M14" s="22">
        <f t="shared" si="3"/>
        <v>0.67516201085795002</v>
      </c>
      <c r="N14" s="22">
        <f t="shared" si="4"/>
        <v>0.97622822916285845</v>
      </c>
      <c r="O14" s="22">
        <f t="shared" si="5"/>
        <v>0.75094480254565832</v>
      </c>
      <c r="P14" s="22">
        <f t="shared" si="19"/>
        <v>1.2999999811617349</v>
      </c>
      <c r="Q14" s="22">
        <f t="shared" si="20"/>
        <v>7.0214595807731879</v>
      </c>
      <c r="R14" s="22">
        <f t="shared" si="6"/>
        <v>15.21679646457925</v>
      </c>
      <c r="S14" s="22">
        <f t="shared" si="7"/>
        <v>138.93053678665893</v>
      </c>
      <c r="T14" s="22">
        <f t="shared" si="21"/>
        <v>2586.1170494772564</v>
      </c>
      <c r="U14" s="22">
        <f t="shared" si="22"/>
        <v>44.716211984822422</v>
      </c>
      <c r="V14" s="22">
        <f t="shared" si="23"/>
        <v>2541.4008374924338</v>
      </c>
      <c r="W14" s="22">
        <f t="shared" si="8"/>
        <v>11436.303768715952</v>
      </c>
      <c r="X14" s="10">
        <f t="shared" si="9"/>
        <v>7.831386201020881</v>
      </c>
      <c r="Y14" s="10">
        <f t="shared" si="10"/>
        <v>-0.61046206700696026</v>
      </c>
      <c r="Z14" s="58">
        <v>0.30399999999999999</v>
      </c>
      <c r="AA14" s="10">
        <v>0.11600000000000001</v>
      </c>
      <c r="AB14" s="10">
        <v>1.079</v>
      </c>
      <c r="AC14" s="10">
        <f t="shared" si="24"/>
        <v>0.40740740740740783</v>
      </c>
      <c r="AE14" s="10">
        <f t="shared" si="25"/>
        <v>4574.5215074863809</v>
      </c>
      <c r="AF14" s="10">
        <f t="shared" si="11"/>
        <v>24702.41614042646</v>
      </c>
    </row>
    <row r="15" spans="1:32" x14ac:dyDescent="0.35">
      <c r="A15" s="10">
        <v>4</v>
      </c>
      <c r="B15" s="21">
        <f t="shared" si="12"/>
        <v>6.3000000000000007</v>
      </c>
      <c r="C15" s="21">
        <v>7.2</v>
      </c>
      <c r="D15" s="21">
        <f t="shared" si="13"/>
        <v>0.16</v>
      </c>
      <c r="E15" s="22">
        <f t="shared" si="14"/>
        <v>0.83217298735089629</v>
      </c>
      <c r="F15" s="22">
        <f t="shared" si="0"/>
        <v>0.58449549056698447</v>
      </c>
      <c r="G15" s="22">
        <f t="shared" si="15"/>
        <v>33.489124753916833</v>
      </c>
      <c r="H15" s="22">
        <f t="shared" si="1"/>
        <v>46.39890688378771</v>
      </c>
      <c r="I15" s="22">
        <f t="shared" si="16"/>
        <v>7.7026561043410382</v>
      </c>
      <c r="J15" s="22">
        <f t="shared" si="2"/>
        <v>14.272026177365154</v>
      </c>
      <c r="K15" s="22">
        <f t="shared" si="17"/>
        <v>6.3348711462705606E-7</v>
      </c>
      <c r="L15" s="22">
        <f t="shared" si="18"/>
        <v>0.99999959670957739</v>
      </c>
      <c r="M15" s="22">
        <f t="shared" si="3"/>
        <v>0.51079824747618263</v>
      </c>
      <c r="N15" s="22">
        <f t="shared" si="4"/>
        <v>0.82725993199701642</v>
      </c>
      <c r="O15" s="22">
        <f t="shared" si="5"/>
        <v>0.63635405047935267</v>
      </c>
      <c r="P15" s="22">
        <f t="shared" si="19"/>
        <v>1.2999994757224507</v>
      </c>
      <c r="Q15" s="22">
        <f t="shared" si="20"/>
        <v>9.8300434130824641</v>
      </c>
      <c r="R15" s="22">
        <f t="shared" si="6"/>
        <v>16.699693215837407</v>
      </c>
      <c r="S15" s="22">
        <f t="shared" si="7"/>
        <v>167.32785210185153</v>
      </c>
      <c r="T15" s="22">
        <f t="shared" si="21"/>
        <v>2773.5634505487496</v>
      </c>
      <c r="U15" s="22">
        <f t="shared" si="22"/>
        <v>58.044843496555345</v>
      </c>
      <c r="V15" s="22">
        <f t="shared" si="23"/>
        <v>2715.5186070521945</v>
      </c>
      <c r="W15" s="22">
        <f t="shared" si="8"/>
        <v>17107.767224428826</v>
      </c>
      <c r="X15" s="10">
        <f t="shared" si="9"/>
        <v>6.9224643573704547</v>
      </c>
      <c r="Y15" s="10">
        <f t="shared" si="10"/>
        <v>-0.30748811912348506</v>
      </c>
      <c r="Z15" s="58">
        <v>0.3125</v>
      </c>
      <c r="AA15" s="10">
        <v>5.3999999999999999E-2</v>
      </c>
      <c r="AB15" s="10">
        <v>1.133</v>
      </c>
      <c r="AC15" s="10">
        <f t="shared" si="24"/>
        <v>0.25</v>
      </c>
      <c r="AE15" s="10">
        <f t="shared" si="25"/>
        <v>4887.93349269395</v>
      </c>
      <c r="AF15" s="10">
        <f t="shared" si="11"/>
        <v>35193.121147396443</v>
      </c>
    </row>
    <row r="16" spans="1:32" x14ac:dyDescent="0.35">
      <c r="A16" s="10">
        <v>5</v>
      </c>
      <c r="B16" s="21">
        <f t="shared" si="12"/>
        <v>8.1</v>
      </c>
      <c r="C16" s="21">
        <v>9</v>
      </c>
      <c r="D16" s="21">
        <f t="shared" si="13"/>
        <v>0.2</v>
      </c>
      <c r="E16" s="22">
        <f t="shared" si="14"/>
        <v>1.0402162341886205</v>
      </c>
      <c r="F16" s="22">
        <f t="shared" si="0"/>
        <v>0.51045930994941302</v>
      </c>
      <c r="G16" s="22">
        <f t="shared" si="15"/>
        <v>29.247164073261718</v>
      </c>
      <c r="H16" s="22">
        <f t="shared" si="1"/>
        <v>57.998633604734636</v>
      </c>
      <c r="I16" s="22">
        <f t="shared" si="16"/>
        <v>7.3936547383963402</v>
      </c>
      <c r="J16" s="22">
        <f t="shared" si="2"/>
        <v>12.28053517980233</v>
      </c>
      <c r="K16" s="22">
        <f t="shared" si="17"/>
        <v>4.6412112533952533E-6</v>
      </c>
      <c r="L16" s="22">
        <f t="shared" si="18"/>
        <v>0.99999704531314837</v>
      </c>
      <c r="M16" s="22">
        <f t="shared" si="3"/>
        <v>0.39224556637686397</v>
      </c>
      <c r="N16" s="22">
        <f t="shared" si="4"/>
        <v>0.71194087379484661</v>
      </c>
      <c r="O16" s="22">
        <f t="shared" si="5"/>
        <v>0.54764844412569313</v>
      </c>
      <c r="P16" s="22">
        <f t="shared" si="19"/>
        <v>1.2999961589070925</v>
      </c>
      <c r="Q16" s="22">
        <f t="shared" si="20"/>
        <v>12.638627245391737</v>
      </c>
      <c r="R16" s="22">
        <f t="shared" si="6"/>
        <v>18.492833710601474</v>
      </c>
      <c r="S16" s="22">
        <f t="shared" si="7"/>
        <v>205.19093918877496</v>
      </c>
      <c r="T16" s="22">
        <f t="shared" si="21"/>
        <v>2890.7772378979716</v>
      </c>
      <c r="U16" s="22">
        <f t="shared" si="22"/>
        <v>71.480336992785979</v>
      </c>
      <c r="V16" s="22">
        <f t="shared" si="23"/>
        <v>2819.2969009051858</v>
      </c>
      <c r="W16" s="22">
        <f t="shared" si="8"/>
        <v>22836.304897332004</v>
      </c>
      <c r="X16" s="10">
        <f t="shared" si="9"/>
        <v>5.7538505583913349</v>
      </c>
      <c r="Y16" s="10">
        <f t="shared" si="10"/>
        <v>8.2049813869555122E-2</v>
      </c>
      <c r="Z16" s="58">
        <v>0.317</v>
      </c>
      <c r="AA16" s="10">
        <v>-1.2999999999999999E-2</v>
      </c>
      <c r="AB16" s="10">
        <v>1.1950000000000001</v>
      </c>
      <c r="AC16" s="10">
        <f t="shared" si="24"/>
        <v>0.18283582089552214</v>
      </c>
      <c r="AE16" s="10">
        <f t="shared" si="25"/>
        <v>5074.734421629335</v>
      </c>
      <c r="AF16" s="10">
        <f t="shared" si="11"/>
        <v>45672.609794664015</v>
      </c>
    </row>
    <row r="17" spans="1:32" x14ac:dyDescent="0.35">
      <c r="A17" s="10">
        <v>6</v>
      </c>
      <c r="B17" s="21">
        <f t="shared" si="12"/>
        <v>9.9</v>
      </c>
      <c r="C17" s="21">
        <v>10.8</v>
      </c>
      <c r="D17" s="21">
        <f t="shared" si="13"/>
        <v>0.24000000000000002</v>
      </c>
      <c r="E17" s="22">
        <f t="shared" si="14"/>
        <v>1.2482594810263445</v>
      </c>
      <c r="F17" s="22">
        <f t="shared" si="0"/>
        <v>0.45028049747461907</v>
      </c>
      <c r="G17" s="22">
        <f t="shared" si="15"/>
        <v>25.799172102346795</v>
      </c>
      <c r="H17" s="22">
        <f t="shared" si="1"/>
        <v>69.598360325681568</v>
      </c>
      <c r="I17" s="22">
        <f t="shared" si="16"/>
        <v>6.9372123758255366</v>
      </c>
      <c r="J17" s="22">
        <f t="shared" si="2"/>
        <v>10.914068389317329</v>
      </c>
      <c r="K17" s="22">
        <f t="shared" si="17"/>
        <v>1.8200374460920529E-5</v>
      </c>
      <c r="L17" s="22">
        <f t="shared" si="18"/>
        <v>0.99998841328175303</v>
      </c>
      <c r="M17" s="22">
        <f t="shared" si="3"/>
        <v>0.3066921224696959</v>
      </c>
      <c r="N17" s="22">
        <f t="shared" si="4"/>
        <v>0.6215886007555198</v>
      </c>
      <c r="O17" s="22">
        <f t="shared" si="5"/>
        <v>0.47815061770073281</v>
      </c>
      <c r="P17" s="22">
        <f t="shared" si="19"/>
        <v>1.2999849372662793</v>
      </c>
      <c r="Q17" s="22">
        <f t="shared" si="20"/>
        <v>15.447211077701013</v>
      </c>
      <c r="R17" s="22">
        <f t="shared" si="6"/>
        <v>20.515026933422458</v>
      </c>
      <c r="S17" s="22">
        <f t="shared" si="7"/>
        <v>252.5197980474293</v>
      </c>
      <c r="T17" s="22">
        <f t="shared" si="21"/>
        <v>2973.3561839884474</v>
      </c>
      <c r="U17" s="22">
        <f t="shared" si="22"/>
        <v>85.167426046674791</v>
      </c>
      <c r="V17" s="22">
        <f t="shared" si="23"/>
        <v>2888.1887579417726</v>
      </c>
      <c r="W17" s="22">
        <f t="shared" si="8"/>
        <v>28593.06870362355</v>
      </c>
      <c r="X17" s="10">
        <f t="shared" si="9"/>
        <v>4.3255448040835232</v>
      </c>
      <c r="Y17" s="10">
        <f t="shared" si="10"/>
        <v>0.55815173197215895</v>
      </c>
      <c r="Z17" s="58">
        <v>0.32100000000000001</v>
      </c>
      <c r="AA17" s="10">
        <v>-8.5800000000000001E-2</v>
      </c>
      <c r="AB17" s="10">
        <v>1.264</v>
      </c>
      <c r="AC17" s="10">
        <f t="shared" si="24"/>
        <v>0.13028169014084479</v>
      </c>
      <c r="AE17" s="10">
        <f t="shared" si="25"/>
        <v>5198.739764295191</v>
      </c>
      <c r="AF17" s="10">
        <f t="shared" si="11"/>
        <v>56146.389454388067</v>
      </c>
    </row>
    <row r="18" spans="1:32" s="28" customFormat="1" x14ac:dyDescent="0.35">
      <c r="A18" s="50">
        <v>7</v>
      </c>
      <c r="B18" s="21">
        <f t="shared" si="12"/>
        <v>11.7</v>
      </c>
      <c r="C18" s="51">
        <v>12.6</v>
      </c>
      <c r="D18" s="21">
        <f t="shared" si="13"/>
        <v>0.27999999999999997</v>
      </c>
      <c r="E18" s="22">
        <f t="shared" si="14"/>
        <v>1.4563027278640686</v>
      </c>
      <c r="F18" s="22">
        <f t="shared" si="0"/>
        <v>0.40114920200974918</v>
      </c>
      <c r="G18" s="22">
        <f t="shared" si="15"/>
        <v>22.98415623019951</v>
      </c>
      <c r="H18" s="22">
        <f t="shared" si="1"/>
        <v>81.198087046628487</v>
      </c>
      <c r="I18" s="22">
        <f t="shared" si="16"/>
        <v>6.446083453192557</v>
      </c>
      <c r="J18" s="22">
        <f t="shared" si="2"/>
        <v>9.8780391776064747</v>
      </c>
      <c r="K18" s="22">
        <f t="shared" si="17"/>
        <v>5.128874745997939E-5</v>
      </c>
      <c r="L18" s="22">
        <f t="shared" si="18"/>
        <v>0.99996734856925273</v>
      </c>
      <c r="M18" s="22">
        <f t="shared" si="3"/>
        <v>0.24426810599011184</v>
      </c>
      <c r="N18" s="22">
        <f t="shared" si="4"/>
        <v>0.54971178978408919</v>
      </c>
      <c r="O18" s="22">
        <f t="shared" si="5"/>
        <v>0.42286903018969174</v>
      </c>
      <c r="P18" s="22">
        <f t="shared" si="19"/>
        <v>1.29995755314003</v>
      </c>
      <c r="Q18" s="22">
        <f t="shared" si="20"/>
        <v>18.255794910010287</v>
      </c>
      <c r="R18" s="22">
        <f t="shared" si="6"/>
        <v>22.705154652553183</v>
      </c>
      <c r="S18" s="22">
        <f t="shared" si="7"/>
        <v>309.31442867781448</v>
      </c>
      <c r="T18" s="22">
        <f t="shared" si="21"/>
        <v>3036.2778347259759</v>
      </c>
      <c r="U18" s="22">
        <f t="shared" si="22"/>
        <v>99.121280205266743</v>
      </c>
      <c r="V18" s="22">
        <f t="shared" si="23"/>
        <v>2937.1565545207091</v>
      </c>
      <c r="W18" s="22">
        <f t="shared" si="8"/>
        <v>34364.731687892294</v>
      </c>
      <c r="X18" s="10">
        <f t="shared" si="9"/>
        <v>2.6375470944470178</v>
      </c>
      <c r="Y18" s="10">
        <f t="shared" si="10"/>
        <v>1.1208176351843275</v>
      </c>
      <c r="Z18" s="58">
        <v>0.32400000000000001</v>
      </c>
      <c r="AA18" s="50">
        <v>-0.16159999999999999</v>
      </c>
      <c r="AB18" s="50">
        <v>1.337</v>
      </c>
      <c r="AC18" s="10">
        <f t="shared" si="24"/>
        <v>9.4594594594594669E-2</v>
      </c>
      <c r="AE18" s="10">
        <f t="shared" si="25"/>
        <v>5286.8817981372767</v>
      </c>
      <c r="AF18" s="10">
        <f t="shared" si="11"/>
        <v>66614.710656529685</v>
      </c>
    </row>
    <row r="19" spans="1:32" x14ac:dyDescent="0.35">
      <c r="A19" s="50">
        <v>8</v>
      </c>
      <c r="B19" s="21">
        <f t="shared" si="12"/>
        <v>13.5</v>
      </c>
      <c r="C19" s="21">
        <v>14.4</v>
      </c>
      <c r="D19" s="21">
        <f t="shared" si="13"/>
        <v>0.32</v>
      </c>
      <c r="E19" s="22">
        <f t="shared" si="14"/>
        <v>1.6643459747017926</v>
      </c>
      <c r="F19" s="22">
        <f t="shared" si="0"/>
        <v>0.36068962039625513</v>
      </c>
      <c r="G19" s="22">
        <f t="shared" si="15"/>
        <v>20.665992962881194</v>
      </c>
      <c r="H19" s="22">
        <f t="shared" si="1"/>
        <v>92.79781376757542</v>
      </c>
      <c r="I19" s="22">
        <f t="shared" si="16"/>
        <v>5.9711991511096301</v>
      </c>
      <c r="J19" s="22">
        <f t="shared" si="2"/>
        <v>9.0318030911730816</v>
      </c>
      <c r="K19" s="22">
        <f t="shared" si="17"/>
        <v>1.1954674504293571E-4</v>
      </c>
      <c r="L19" s="22">
        <f t="shared" si="18"/>
        <v>0.99992389417820227</v>
      </c>
      <c r="M19" s="22">
        <f t="shared" si="3"/>
        <v>0.19798872105942228</v>
      </c>
      <c r="N19" s="22">
        <f t="shared" si="4"/>
        <v>0.49161258345849845</v>
      </c>
      <c r="O19" s="22">
        <f t="shared" si="5"/>
        <v>0.37819230837373247</v>
      </c>
      <c r="P19" s="22">
        <f t="shared" si="19"/>
        <v>1.2999010624316643</v>
      </c>
      <c r="Q19" s="22">
        <f t="shared" si="20"/>
        <v>21.064378742319562</v>
      </c>
      <c r="R19" s="22">
        <f t="shared" si="6"/>
        <v>25.019153698714199</v>
      </c>
      <c r="S19" s="22">
        <f t="shared" si="7"/>
        <v>375.57483107993062</v>
      </c>
      <c r="T19" s="22">
        <f t="shared" si="21"/>
        <v>3086.4931879560904</v>
      </c>
      <c r="U19" s="22">
        <f t="shared" si="22"/>
        <v>113.30965566714342</v>
      </c>
      <c r="V19" s="22">
        <f t="shared" si="23"/>
        <v>2973.1835322889469</v>
      </c>
      <c r="W19" s="22">
        <f t="shared" si="8"/>
        <v>40137.977685900783</v>
      </c>
      <c r="X19" s="10">
        <f t="shared" si="9"/>
        <v>0.68985742948181894</v>
      </c>
      <c r="Y19" s="10">
        <f t="shared" si="10"/>
        <v>1.7700475235060598</v>
      </c>
      <c r="Z19" s="58">
        <v>0.32500000000000001</v>
      </c>
      <c r="AA19" s="50">
        <v>-0.24</v>
      </c>
      <c r="AB19" s="50">
        <v>1.4139999999999999</v>
      </c>
      <c r="AC19" s="10">
        <f t="shared" si="24"/>
        <v>8.3333333333333023E-2</v>
      </c>
      <c r="AE19" s="10">
        <f t="shared" si="25"/>
        <v>5351.7303581201049</v>
      </c>
      <c r="AF19" s="10">
        <f t="shared" si="11"/>
        <v>77064.917156929514</v>
      </c>
    </row>
    <row r="20" spans="1:32" x14ac:dyDescent="0.35">
      <c r="A20" s="50">
        <v>9</v>
      </c>
      <c r="B20" s="21">
        <f t="shared" si="12"/>
        <v>15.3</v>
      </c>
      <c r="C20" s="21">
        <v>16.2</v>
      </c>
      <c r="D20" s="21">
        <f t="shared" si="13"/>
        <v>0.36</v>
      </c>
      <c r="E20" s="22">
        <f t="shared" si="14"/>
        <v>1.8723892215395166</v>
      </c>
      <c r="F20" s="22">
        <f t="shared" si="0"/>
        <v>0.32702407940514405</v>
      </c>
      <c r="G20" s="22">
        <f t="shared" si="15"/>
        <v>18.73709954906586</v>
      </c>
      <c r="H20" s="22">
        <f t="shared" si="1"/>
        <v>104.39754048852234</v>
      </c>
      <c r="I20" s="22">
        <f t="shared" si="16"/>
        <v>5.5328108124916699</v>
      </c>
      <c r="J20" s="22">
        <f t="shared" si="2"/>
        <v>8.301521622857674</v>
      </c>
      <c r="K20" s="22">
        <f t="shared" si="17"/>
        <v>2.4813896577743303E-4</v>
      </c>
      <c r="L20" s="22">
        <f t="shared" si="18"/>
        <v>0.99984202982647019</v>
      </c>
      <c r="M20" s="22">
        <f t="shared" si="3"/>
        <v>0.16306929444450649</v>
      </c>
      <c r="N20" s="22">
        <f t="shared" si="4"/>
        <v>0.44391839157870477</v>
      </c>
      <c r="O20" s="22">
        <f t="shared" si="5"/>
        <v>0.34152963732584685</v>
      </c>
      <c r="P20" s="22">
        <f t="shared" si="19"/>
        <v>1.2997946387744113</v>
      </c>
      <c r="Q20" s="22">
        <f t="shared" si="20"/>
        <v>23.87296257462884</v>
      </c>
      <c r="R20" s="22">
        <f t="shared" si="6"/>
        <v>27.425687632029014</v>
      </c>
      <c r="S20" s="22">
        <f t="shared" si="7"/>
        <v>451.30100525377753</v>
      </c>
      <c r="T20" s="22">
        <f t="shared" si="21"/>
        <v>3127.6571925689855</v>
      </c>
      <c r="U20" s="22">
        <f t="shared" si="22"/>
        <v>127.6900323642913</v>
      </c>
      <c r="V20" s="22">
        <f t="shared" si="23"/>
        <v>2999.9671602046942</v>
      </c>
      <c r="W20" s="22">
        <f t="shared" si="8"/>
        <v>45899.497551131826</v>
      </c>
      <c r="X20" s="10">
        <f t="shared" si="9"/>
        <v>-1.51752419081207</v>
      </c>
      <c r="Y20" s="10">
        <f t="shared" si="10"/>
        <v>2.505841396937357</v>
      </c>
      <c r="Z20" s="58">
        <v>0.32700000000000001</v>
      </c>
      <c r="AA20" s="50">
        <v>-0.32700000000000001</v>
      </c>
      <c r="AB20" s="50">
        <v>1.4930000000000001</v>
      </c>
      <c r="AC20" s="10">
        <f t="shared" si="24"/>
        <v>6.1688311688311376E-2</v>
      </c>
      <c r="AE20" s="10">
        <f t="shared" si="25"/>
        <v>5399.94088836845</v>
      </c>
      <c r="AF20" s="10">
        <f t="shared" si="11"/>
        <v>87479.042391568888</v>
      </c>
    </row>
    <row r="21" spans="1:32" x14ac:dyDescent="0.35">
      <c r="A21" s="50">
        <v>10</v>
      </c>
      <c r="B21" s="21">
        <f t="shared" si="12"/>
        <v>17.100000000000001</v>
      </c>
      <c r="C21" s="21">
        <v>18</v>
      </c>
      <c r="D21" s="21">
        <f t="shared" si="13"/>
        <v>0.4</v>
      </c>
      <c r="E21" s="22">
        <f t="shared" si="14"/>
        <v>2.0804324683772411</v>
      </c>
      <c r="F21" s="22">
        <f t="shared" si="0"/>
        <v>0.29870919694243514</v>
      </c>
      <c r="G21" s="22">
        <f t="shared" si="15"/>
        <v>17.114776286543648</v>
      </c>
      <c r="H21" s="22">
        <f t="shared" si="1"/>
        <v>115.99726720946927</v>
      </c>
      <c r="I21" s="22">
        <f t="shared" si="16"/>
        <v>5.1366894069556084</v>
      </c>
      <c r="J21" s="22">
        <f t="shared" si="2"/>
        <v>7.6456026128032333</v>
      </c>
      <c r="K21" s="22">
        <f t="shared" si="17"/>
        <v>4.78142088770307E-4</v>
      </c>
      <c r="L21" s="22">
        <f t="shared" si="18"/>
        <v>0.99969560528068924</v>
      </c>
      <c r="M21" s="22">
        <f t="shared" si="3"/>
        <v>0.13625491837412693</v>
      </c>
      <c r="N21" s="22">
        <f t="shared" si="4"/>
        <v>0.40419559512525399</v>
      </c>
      <c r="O21" s="22">
        <f t="shared" si="5"/>
        <v>0.31101435968660629</v>
      </c>
      <c r="P21" s="22">
        <f t="shared" si="19"/>
        <v>1.2996042868648952</v>
      </c>
      <c r="Q21" s="22">
        <f t="shared" si="20"/>
        <v>26.681546406938114</v>
      </c>
      <c r="R21" s="22">
        <f t="shared" si="6"/>
        <v>29.902423290857083</v>
      </c>
      <c r="S21" s="22">
        <f t="shared" si="7"/>
        <v>536.49295119935528</v>
      </c>
      <c r="T21" s="22">
        <f t="shared" si="21"/>
        <v>3161.9173496107014</v>
      </c>
      <c r="U21" s="22">
        <f t="shared" si="22"/>
        <v>142.22320681493764</v>
      </c>
      <c r="V21" s="22">
        <f t="shared" si="23"/>
        <v>3019.6941427957636</v>
      </c>
      <c r="W21" s="22">
        <f t="shared" si="8"/>
        <v>51636.76984180756</v>
      </c>
      <c r="X21" s="10">
        <f t="shared" si="9"/>
        <v>-3.9845977664346606</v>
      </c>
      <c r="Y21" s="10">
        <f t="shared" si="10"/>
        <v>3.3281992554782205</v>
      </c>
      <c r="Z21" s="58">
        <v>0.32800000000000001</v>
      </c>
      <c r="AA21" s="50">
        <v>-0.40200000000000002</v>
      </c>
      <c r="AB21" s="50">
        <v>1.5740000000000001</v>
      </c>
      <c r="AC21" s="10">
        <f t="shared" si="24"/>
        <v>5.1282051282051322E-2</v>
      </c>
      <c r="AE21" s="10">
        <f t="shared" si="25"/>
        <v>5435.449457032375</v>
      </c>
      <c r="AF21" s="10">
        <f t="shared" si="11"/>
        <v>97838.090226582746</v>
      </c>
    </row>
    <row r="22" spans="1:32" x14ac:dyDescent="0.35">
      <c r="A22" s="10">
        <v>11</v>
      </c>
      <c r="B22" s="21">
        <f t="shared" si="12"/>
        <v>18.899999999999999</v>
      </c>
      <c r="C22" s="21">
        <v>19.8</v>
      </c>
      <c r="D22" s="21">
        <f t="shared" si="13"/>
        <v>0.44</v>
      </c>
      <c r="E22" s="22">
        <f t="shared" si="14"/>
        <v>2.2884757152149651</v>
      </c>
      <c r="F22" s="22">
        <f t="shared" si="0"/>
        <v>0.27464483436151976</v>
      </c>
      <c r="G22" s="22">
        <f t="shared" si="15"/>
        <v>15.735989873984652</v>
      </c>
      <c r="H22" s="22">
        <f t="shared" si="1"/>
        <v>127.5969939304162</v>
      </c>
      <c r="I22" s="22">
        <f t="shared" si="16"/>
        <v>4.7821335932394753</v>
      </c>
      <c r="J22" s="22">
        <f t="shared" si="2"/>
        <v>7.0392883938199091</v>
      </c>
      <c r="K22" s="22">
        <f t="shared" si="17"/>
        <v>8.7675024121506814E-4</v>
      </c>
      <c r="L22" s="22">
        <f t="shared" si="18"/>
        <v>0.99944184338950615</v>
      </c>
      <c r="M22" s="22">
        <f t="shared" si="3"/>
        <v>0.1153182121045257</v>
      </c>
      <c r="N22" s="22">
        <f t="shared" si="4"/>
        <v>0.37066629042154542</v>
      </c>
      <c r="O22" s="22">
        <f t="shared" si="5"/>
        <v>0.28528715061788751</v>
      </c>
      <c r="P22" s="22">
        <f t="shared" si="19"/>
        <v>1.2992743964063576</v>
      </c>
      <c r="Q22" s="22">
        <f t="shared" si="20"/>
        <v>29.490130239247385</v>
      </c>
      <c r="R22" s="22">
        <f t="shared" si="6"/>
        <v>32.433282003642077</v>
      </c>
      <c r="S22" s="22">
        <f t="shared" si="7"/>
        <v>631.15066891666379</v>
      </c>
      <c r="T22" s="22">
        <f t="shared" si="21"/>
        <v>3190.6174605671854</v>
      </c>
      <c r="U22" s="22">
        <f t="shared" si="22"/>
        <v>156.87689567026248</v>
      </c>
      <c r="V22" s="22">
        <f t="shared" si="23"/>
        <v>3033.7405648969229</v>
      </c>
      <c r="W22" s="22">
        <f t="shared" si="8"/>
        <v>57337.696676551837</v>
      </c>
      <c r="X22" s="10">
        <f t="shared" si="9"/>
        <v>-6.7113632973859385</v>
      </c>
      <c r="Y22" s="10">
        <f t="shared" si="10"/>
        <v>4.2371210991286459</v>
      </c>
      <c r="Z22" s="58">
        <v>0.32900000000000001</v>
      </c>
      <c r="AA22" s="50">
        <v>-0.48499999999999999</v>
      </c>
      <c r="AB22" s="50">
        <v>1.6559999999999999</v>
      </c>
      <c r="AC22" s="10">
        <f t="shared" si="24"/>
        <v>4.1139240506328792E-2</v>
      </c>
      <c r="AE22" s="10">
        <f t="shared" si="25"/>
        <v>5460.7330168144617</v>
      </c>
      <c r="AF22" s="10">
        <f t="shared" si="11"/>
        <v>108122.51373292635</v>
      </c>
    </row>
    <row r="23" spans="1:32" x14ac:dyDescent="0.35">
      <c r="A23" s="10">
        <v>12</v>
      </c>
      <c r="B23" s="21">
        <f t="shared" si="12"/>
        <v>20.700000000000003</v>
      </c>
      <c r="C23" s="21">
        <v>21.6</v>
      </c>
      <c r="D23" s="21">
        <f t="shared" si="13"/>
        <v>0.48000000000000004</v>
      </c>
      <c r="E23" s="22">
        <f t="shared" si="14"/>
        <v>2.4965189620526891</v>
      </c>
      <c r="F23" s="22">
        <f t="shared" si="0"/>
        <v>0.25399139818451916</v>
      </c>
      <c r="G23" s="22">
        <f t="shared" si="15"/>
        <v>14.552635148599707</v>
      </c>
      <c r="H23" s="22">
        <f t="shared" si="1"/>
        <v>139.19672065136314</v>
      </c>
      <c r="I23" s="22">
        <f t="shared" si="16"/>
        <v>4.4658179558741429</v>
      </c>
      <c r="J23" s="22">
        <f t="shared" si="2"/>
        <v>6.4671650765524484</v>
      </c>
      <c r="K23" s="22">
        <f t="shared" si="17"/>
        <v>1.5536239005716765E-3</v>
      </c>
      <c r="L23" s="22">
        <f t="shared" si="18"/>
        <v>0.99901093190817958</v>
      </c>
      <c r="M23" s="22">
        <f t="shared" si="3"/>
        <v>9.8716250364710212E-2</v>
      </c>
      <c r="N23" s="22">
        <f t="shared" si="4"/>
        <v>0.34200943747302409</v>
      </c>
      <c r="O23" s="22">
        <f t="shared" si="5"/>
        <v>0.26334464846050137</v>
      </c>
      <c r="P23" s="22">
        <f t="shared" si="19"/>
        <v>1.2987142114806314</v>
      </c>
      <c r="Q23" s="22">
        <f t="shared" si="20"/>
        <v>32.298714071556667</v>
      </c>
      <c r="R23" s="22">
        <f t="shared" si="6"/>
        <v>35.006526972497177</v>
      </c>
      <c r="S23" s="22">
        <f t="shared" si="7"/>
        <v>735.27415840570336</v>
      </c>
      <c r="T23" s="22">
        <f t="shared" si="21"/>
        <v>3214.5825633117111</v>
      </c>
      <c r="U23" s="22">
        <f t="shared" si="22"/>
        <v>171.62568904865145</v>
      </c>
      <c r="V23" s="22">
        <f t="shared" si="23"/>
        <v>3042.9568742630595</v>
      </c>
      <c r="W23" s="22">
        <f t="shared" si="8"/>
        <v>62989.207297245339</v>
      </c>
      <c r="X23" s="10">
        <f t="shared" si="9"/>
        <v>-9.6978207836659074</v>
      </c>
      <c r="Y23" s="10">
        <f t="shared" si="10"/>
        <v>5.2326069278886358</v>
      </c>
      <c r="Z23" s="58">
        <v>0.32900000000000001</v>
      </c>
      <c r="AA23" s="50">
        <v>-0.56899999999999995</v>
      </c>
      <c r="AB23" s="50">
        <v>1.74</v>
      </c>
      <c r="AC23" s="10">
        <f t="shared" si="24"/>
        <v>4.1139240506328792E-2</v>
      </c>
      <c r="AE23" s="10">
        <f t="shared" si="25"/>
        <v>5477.3223736735072</v>
      </c>
      <c r="AF23" s="10">
        <f t="shared" si="11"/>
        <v>118310.16327134776</v>
      </c>
    </row>
    <row r="24" spans="1:32" x14ac:dyDescent="0.35">
      <c r="A24" s="10">
        <v>13</v>
      </c>
      <c r="B24" s="21">
        <f t="shared" si="12"/>
        <v>22.5</v>
      </c>
      <c r="C24" s="21">
        <v>23.4</v>
      </c>
      <c r="D24" s="21">
        <f t="shared" si="13"/>
        <v>0.52</v>
      </c>
      <c r="E24" s="22">
        <f t="shared" si="14"/>
        <v>2.7045622088904131</v>
      </c>
      <c r="F24" s="22">
        <f t="shared" si="0"/>
        <v>0.23610409453851133</v>
      </c>
      <c r="G24" s="22">
        <f t="shared" si="15"/>
        <v>13.527768142814489</v>
      </c>
      <c r="H24" s="22">
        <f t="shared" si="1"/>
        <v>150.79644737231004</v>
      </c>
      <c r="I24" s="22">
        <f t="shared" si="16"/>
        <v>4.1835959103889007</v>
      </c>
      <c r="J24" s="22">
        <f t="shared" si="2"/>
        <v>5.919269675695209</v>
      </c>
      <c r="K24" s="22">
        <f t="shared" si="17"/>
        <v>2.6871619601880701E-3</v>
      </c>
      <c r="L24" s="22">
        <f t="shared" si="18"/>
        <v>0.99828929750580142</v>
      </c>
      <c r="M24" s="22">
        <f t="shared" si="3"/>
        <v>8.5364098594542526E-2</v>
      </c>
      <c r="N24" s="22">
        <f t="shared" si="4"/>
        <v>0.31722244433731128</v>
      </c>
      <c r="O24" s="22">
        <f t="shared" si="5"/>
        <v>0.24443542115950287</v>
      </c>
      <c r="P24" s="22">
        <f t="shared" si="19"/>
        <v>1.2977760867575419</v>
      </c>
      <c r="Q24" s="22">
        <f t="shared" si="20"/>
        <v>35.107297903865941</v>
      </c>
      <c r="R24" s="22">
        <f t="shared" si="6"/>
        <v>37.613459906139852</v>
      </c>
      <c r="S24" s="22">
        <f t="shared" si="7"/>
        <v>848.8634196664741</v>
      </c>
      <c r="T24" s="22">
        <f t="shared" si="21"/>
        <v>3234.2202883396035</v>
      </c>
      <c r="U24" s="22">
        <f t="shared" si="22"/>
        <v>186.44993604551021</v>
      </c>
      <c r="V24" s="22">
        <f t="shared" si="23"/>
        <v>3047.7703522940933</v>
      </c>
      <c r="W24" s="22">
        <f t="shared" si="8"/>
        <v>68574.832926617106</v>
      </c>
      <c r="X24" s="10">
        <f t="shared" si="9"/>
        <v>-12.943970225274569</v>
      </c>
      <c r="Y24" s="10">
        <f t="shared" si="10"/>
        <v>6.3146567417581903</v>
      </c>
      <c r="Z24" s="58">
        <v>0.33</v>
      </c>
      <c r="AA24" s="50">
        <v>-0.65500000000000003</v>
      </c>
      <c r="AB24" s="50">
        <v>1.8240000000000001</v>
      </c>
      <c r="AC24" s="10">
        <f t="shared" si="24"/>
        <v>3.1250000000000021E-2</v>
      </c>
      <c r="AE24" s="10">
        <f t="shared" si="25"/>
        <v>5485.9866341293682</v>
      </c>
      <c r="AF24" s="10">
        <f t="shared" si="11"/>
        <v>128372.08723862721</v>
      </c>
    </row>
    <row r="25" spans="1:32" x14ac:dyDescent="0.35">
      <c r="A25" s="10">
        <v>14</v>
      </c>
      <c r="B25" s="21">
        <f t="shared" si="12"/>
        <v>24.299999999999997</v>
      </c>
      <c r="C25" s="21">
        <v>25.2</v>
      </c>
      <c r="D25" s="21">
        <f t="shared" si="13"/>
        <v>0.55999999999999994</v>
      </c>
      <c r="E25" s="22">
        <f t="shared" si="14"/>
        <v>2.9126054557281371</v>
      </c>
      <c r="F25" s="22">
        <f t="shared" si="0"/>
        <v>0.22048338089138422</v>
      </c>
      <c r="G25" s="22">
        <f t="shared" si="15"/>
        <v>12.632767177851699</v>
      </c>
      <c r="H25" s="22">
        <f t="shared" si="1"/>
        <v>162.39617409325697</v>
      </c>
      <c r="I25" s="22">
        <f t="shared" si="16"/>
        <v>3.9313113815946172</v>
      </c>
      <c r="J25" s="22">
        <f t="shared" si="2"/>
        <v>5.3889541536765764</v>
      </c>
      <c r="K25" s="22">
        <f t="shared" si="17"/>
        <v>4.566746954576574E-3</v>
      </c>
      <c r="L25" s="22">
        <f t="shared" si="18"/>
        <v>0.99709270848791054</v>
      </c>
      <c r="M25" s="22">
        <f t="shared" si="3"/>
        <v>7.4486623715977585E-2</v>
      </c>
      <c r="N25" s="22">
        <f t="shared" si="4"/>
        <v>0.29552338242315412</v>
      </c>
      <c r="O25" s="22">
        <f t="shared" si="5"/>
        <v>0.22798850784074048</v>
      </c>
      <c r="P25" s="22">
        <f t="shared" si="19"/>
        <v>1.2962205210342863</v>
      </c>
      <c r="Q25" s="22">
        <f t="shared" si="20"/>
        <v>37.915881736175209</v>
      </c>
      <c r="R25" s="22">
        <f t="shared" si="6"/>
        <v>40.247535177096559</v>
      </c>
      <c r="S25" s="22">
        <f t="shared" si="7"/>
        <v>971.91845269897487</v>
      </c>
      <c r="T25" s="22">
        <f t="shared" si="21"/>
        <v>3249.517187689326</v>
      </c>
      <c r="U25" s="22">
        <f t="shared" si="22"/>
        <v>201.33450739790271</v>
      </c>
      <c r="V25" s="22">
        <f t="shared" si="23"/>
        <v>3048.1826802914234</v>
      </c>
      <c r="W25" s="22">
        <f t="shared" si="8"/>
        <v>74070.839131081579</v>
      </c>
      <c r="X25" s="10">
        <f t="shared" si="9"/>
        <v>-16.449811622211929</v>
      </c>
      <c r="Y25" s="10">
        <f t="shared" si="10"/>
        <v>7.4832705407373101</v>
      </c>
      <c r="Z25" s="58">
        <v>0.33</v>
      </c>
      <c r="AA25" s="50">
        <v>-0.74</v>
      </c>
      <c r="AB25" s="50">
        <v>1.91</v>
      </c>
      <c r="AC25" s="10">
        <f t="shared" si="24"/>
        <v>3.1250000000000021E-2</v>
      </c>
      <c r="AE25" s="10">
        <f t="shared" si="25"/>
        <v>5486.7288245245618</v>
      </c>
      <c r="AF25" s="10">
        <f t="shared" si="11"/>
        <v>138265.56637801896</v>
      </c>
    </row>
    <row r="26" spans="1:32" x14ac:dyDescent="0.35">
      <c r="A26" s="10">
        <v>15</v>
      </c>
      <c r="B26" s="21">
        <f t="shared" si="12"/>
        <v>26.1</v>
      </c>
      <c r="C26" s="21">
        <v>27</v>
      </c>
      <c r="D26" s="21">
        <f t="shared" si="13"/>
        <v>0.6</v>
      </c>
      <c r="E26" s="22">
        <f t="shared" si="14"/>
        <v>3.1206487025658611</v>
      </c>
      <c r="F26" s="22">
        <f t="shared" si="0"/>
        <v>0.20673842670580198</v>
      </c>
      <c r="G26" s="22">
        <f t="shared" si="15"/>
        <v>11.84523931341716</v>
      </c>
      <c r="H26" s="22">
        <f t="shared" si="1"/>
        <v>173.99590081420391</v>
      </c>
      <c r="I26" s="22">
        <f t="shared" si="16"/>
        <v>3.7051350587663063</v>
      </c>
      <c r="J26" s="22">
        <f t="shared" si="2"/>
        <v>4.8716591312230397</v>
      </c>
      <c r="K26" s="22">
        <f t="shared" si="17"/>
        <v>7.6606447234214082E-3</v>
      </c>
      <c r="L26" s="22">
        <f t="shared" si="18"/>
        <v>0.99512303439801741</v>
      </c>
      <c r="M26" s="22">
        <f t="shared" si="3"/>
        <v>6.5521173269526431E-2</v>
      </c>
      <c r="N26" s="22">
        <f t="shared" si="4"/>
        <v>0.27627918007742874</v>
      </c>
      <c r="O26" s="22">
        <f t="shared" si="5"/>
        <v>0.21356399044864688</v>
      </c>
      <c r="P26" s="22">
        <f t="shared" si="19"/>
        <v>1.2936599447174228</v>
      </c>
      <c r="Q26" s="22">
        <f t="shared" si="20"/>
        <v>40.72446556848449</v>
      </c>
      <c r="R26" s="22">
        <f t="shared" si="6"/>
        <v>42.903753866517071</v>
      </c>
      <c r="S26" s="22">
        <f t="shared" si="7"/>
        <v>1104.439257503207</v>
      </c>
      <c r="T26" s="22">
        <f t="shared" si="21"/>
        <v>3259.9457407953942</v>
      </c>
      <c r="U26" s="22">
        <f t="shared" si="22"/>
        <v>216.2677291705279</v>
      </c>
      <c r="V26" s="22">
        <f t="shared" si="23"/>
        <v>3043.6780116248665</v>
      </c>
      <c r="W26" s="22">
        <f t="shared" si="8"/>
        <v>79439.996103409023</v>
      </c>
      <c r="X26" s="10">
        <f t="shared" si="9"/>
        <v>-20.215344974477979</v>
      </c>
      <c r="Y26" s="10">
        <f t="shared" si="10"/>
        <v>8.7384483248259919</v>
      </c>
      <c r="Z26" s="58">
        <v>0.33</v>
      </c>
      <c r="AA26" s="50">
        <v>-0.82599999999999996</v>
      </c>
      <c r="AB26" s="50">
        <v>1.9950000000000001</v>
      </c>
      <c r="AC26" s="10">
        <f t="shared" si="24"/>
        <v>3.1250000000000021E-2</v>
      </c>
      <c r="AE26" s="10">
        <f t="shared" si="25"/>
        <v>5478.6204209247599</v>
      </c>
      <c r="AF26" s="10">
        <f t="shared" si="11"/>
        <v>147922.75136496851</v>
      </c>
    </row>
    <row r="27" spans="1:32" x14ac:dyDescent="0.35">
      <c r="A27" s="10">
        <v>16</v>
      </c>
      <c r="B27" s="21">
        <f t="shared" si="12"/>
        <v>27.9</v>
      </c>
      <c r="C27" s="21">
        <v>28.8</v>
      </c>
      <c r="D27" s="21">
        <f t="shared" si="13"/>
        <v>0.64</v>
      </c>
      <c r="E27" s="22">
        <f t="shared" si="14"/>
        <v>3.3286919494035851</v>
      </c>
      <c r="F27" s="22">
        <f t="shared" si="0"/>
        <v>0.19456034545367465</v>
      </c>
      <c r="G27" s="22">
        <f t="shared" si="15"/>
        <v>11.147486655102872</v>
      </c>
      <c r="H27" s="22">
        <f t="shared" si="1"/>
        <v>185.59562753515084</v>
      </c>
      <c r="I27" s="22">
        <f t="shared" si="16"/>
        <v>3.5016763069644696</v>
      </c>
      <c r="J27" s="22">
        <f t="shared" si="2"/>
        <v>4.3641821323526839</v>
      </c>
      <c r="K27" s="22">
        <f t="shared" si="17"/>
        <v>1.2725058333987935E-2</v>
      </c>
      <c r="L27" s="22">
        <f t="shared" si="18"/>
        <v>0.99189875761489343</v>
      </c>
      <c r="M27" s="22">
        <f t="shared" si="3"/>
        <v>5.8053030558455045E-2</v>
      </c>
      <c r="N27" s="22">
        <f t="shared" si="4"/>
        <v>0.25894901987746766</v>
      </c>
      <c r="O27" s="22">
        <f t="shared" si="5"/>
        <v>0.20081843254937817</v>
      </c>
      <c r="P27" s="22">
        <f t="shared" si="19"/>
        <v>1.2894683848993596</v>
      </c>
      <c r="Q27" s="22">
        <f t="shared" si="20"/>
        <v>43.533049400793757</v>
      </c>
      <c r="R27" s="22">
        <f t="shared" si="6"/>
        <v>45.578244702181649</v>
      </c>
      <c r="S27" s="22">
        <f t="shared" si="7"/>
        <v>1246.4258340791698</v>
      </c>
      <c r="T27" s="22">
        <f t="shared" si="21"/>
        <v>3264.2642731205415</v>
      </c>
      <c r="U27" s="22">
        <f t="shared" si="22"/>
        <v>231.24054198065605</v>
      </c>
      <c r="V27" s="22">
        <f t="shared" si="23"/>
        <v>3033.0237311398855</v>
      </c>
      <c r="W27" s="22">
        <f t="shared" si="8"/>
        <v>84621.362098802798</v>
      </c>
      <c r="X27" s="10">
        <f t="shared" si="9"/>
        <v>-24.240570282072724</v>
      </c>
      <c r="Y27" s="10">
        <f t="shared" si="10"/>
        <v>10.080190094024239</v>
      </c>
      <c r="Z27" s="58">
        <v>0.33100000000000002</v>
      </c>
      <c r="AA27" s="50">
        <v>-0.91300000000000003</v>
      </c>
      <c r="AB27" s="50">
        <v>2.0819999999999999</v>
      </c>
      <c r="AC27" s="10">
        <f t="shared" si="24"/>
        <v>2.1604938271604611E-2</v>
      </c>
      <c r="AE27" s="10">
        <f t="shared" si="25"/>
        <v>5459.4427160517944</v>
      </c>
      <c r="AF27" s="10">
        <f t="shared" si="11"/>
        <v>157231.95022229169</v>
      </c>
    </row>
    <row r="28" spans="1:32" x14ac:dyDescent="0.35">
      <c r="A28" s="50">
        <v>17</v>
      </c>
      <c r="B28" s="21">
        <f t="shared" si="12"/>
        <v>29.700000000000003</v>
      </c>
      <c r="C28" s="21">
        <v>30.6</v>
      </c>
      <c r="D28" s="21">
        <f t="shared" si="13"/>
        <v>0.68</v>
      </c>
      <c r="E28" s="22">
        <f t="shared" si="14"/>
        <v>3.5367351962413096</v>
      </c>
      <c r="F28" s="22">
        <f t="shared" si="0"/>
        <v>0.18370256182372233</v>
      </c>
      <c r="G28" s="22">
        <f t="shared" si="15"/>
        <v>10.525381478240369</v>
      </c>
      <c r="H28" s="22">
        <f t="shared" si="1"/>
        <v>197.19535425609777</v>
      </c>
      <c r="I28" s="22">
        <f t="shared" si="16"/>
        <v>3.3179927606040018</v>
      </c>
      <c r="J28" s="22">
        <f t="shared" si="2"/>
        <v>3.8642260874627383</v>
      </c>
      <c r="K28" s="22">
        <f t="shared" si="17"/>
        <v>2.0979152184936008E-2</v>
      </c>
      <c r="L28" s="22">
        <f t="shared" si="18"/>
        <v>0.98664327701845689</v>
      </c>
      <c r="M28" s="22">
        <f t="shared" si="3"/>
        <v>5.177205382286771E-2</v>
      </c>
      <c r="N28" s="22">
        <f t="shared" si="4"/>
        <v>0.24303444236160565</v>
      </c>
      <c r="O28" s="22">
        <f t="shared" si="5"/>
        <v>0.18948040837244998</v>
      </c>
      <c r="P28" s="22">
        <f t="shared" si="19"/>
        <v>1.2826362601239902</v>
      </c>
      <c r="Q28" s="22">
        <f t="shared" si="20"/>
        <v>46.341633233103039</v>
      </c>
      <c r="R28" s="22">
        <f t="shared" si="6"/>
        <v>48.267970443260197</v>
      </c>
      <c r="S28" s="22">
        <f t="shared" si="7"/>
        <v>1397.8781824268638</v>
      </c>
      <c r="T28" s="22">
        <f t="shared" si="21"/>
        <v>3260.1630828282678</v>
      </c>
      <c r="U28" s="22">
        <f t="shared" si="22"/>
        <v>246.24586253730033</v>
      </c>
      <c r="V28" s="22">
        <f t="shared" si="23"/>
        <v>3013.9172202909676</v>
      </c>
      <c r="W28" s="22">
        <f t="shared" si="8"/>
        <v>89513.341442641744</v>
      </c>
      <c r="X28" s="10">
        <f t="shared" si="9"/>
        <v>-28.525487544996167</v>
      </c>
      <c r="Y28" s="10">
        <f t="shared" si="10"/>
        <v>11.508495848332055</v>
      </c>
      <c r="Z28" s="58">
        <v>0.33100000000000002</v>
      </c>
      <c r="AA28" s="50">
        <v>-1</v>
      </c>
      <c r="AB28" s="50">
        <v>2.169</v>
      </c>
      <c r="AC28" s="10">
        <f t="shared" si="24"/>
        <v>2.1604938271604611E-2</v>
      </c>
      <c r="AE28" s="10">
        <f t="shared" si="25"/>
        <v>5425.0509965237416</v>
      </c>
      <c r="AF28" s="10">
        <f t="shared" si="11"/>
        <v>166006.56049362649</v>
      </c>
    </row>
    <row r="29" spans="1:32" x14ac:dyDescent="0.35">
      <c r="A29" s="50">
        <v>18</v>
      </c>
      <c r="B29" s="21">
        <f t="shared" si="12"/>
        <v>31.5</v>
      </c>
      <c r="C29" s="21">
        <v>32.4</v>
      </c>
      <c r="D29" s="21">
        <f t="shared" si="13"/>
        <v>0.72</v>
      </c>
      <c r="E29" s="22">
        <f t="shared" si="14"/>
        <v>3.7447784430790332</v>
      </c>
      <c r="F29" s="22">
        <f t="shared" si="0"/>
        <v>0.17396633489890731</v>
      </c>
      <c r="G29" s="22">
        <f t="shared" si="15"/>
        <v>9.9675367670668322</v>
      </c>
      <c r="H29" s="22">
        <f t="shared" si="1"/>
        <v>208.79508097704468</v>
      </c>
      <c r="I29" s="22">
        <f t="shared" si="16"/>
        <v>3.1515566466091349</v>
      </c>
      <c r="J29" s="22">
        <f t="shared" si="2"/>
        <v>3.3701124819580688</v>
      </c>
      <c r="K29" s="22">
        <f t="shared" si="17"/>
        <v>3.4385769347271014E-2</v>
      </c>
      <c r="L29" s="22">
        <f t="shared" si="18"/>
        <v>0.97810502319786896</v>
      </c>
      <c r="M29" s="22">
        <f t="shared" si="3"/>
        <v>4.6443131364996428E-2</v>
      </c>
      <c r="N29" s="22">
        <f t="shared" si="4"/>
        <v>0.22802839253517787</v>
      </c>
      <c r="O29" s="22">
        <f t="shared" si="5"/>
        <v>0.1793329464997605</v>
      </c>
      <c r="P29" s="22">
        <f t="shared" si="19"/>
        <v>1.2715365301572312</v>
      </c>
      <c r="Q29" s="22">
        <f t="shared" si="20"/>
        <v>49.150217065412313</v>
      </c>
      <c r="R29" s="22">
        <f t="shared" si="6"/>
        <v>50.970519298680365</v>
      </c>
      <c r="S29" s="22">
        <f t="shared" si="7"/>
        <v>1558.7963025462884</v>
      </c>
      <c r="T29" s="22">
        <f t="shared" si="21"/>
        <v>3243.6723487696568</v>
      </c>
      <c r="U29" s="22">
        <f t="shared" si="22"/>
        <v>261.27810633679996</v>
      </c>
      <c r="V29" s="22">
        <f t="shared" si="23"/>
        <v>2982.394242432857</v>
      </c>
      <c r="W29" s="22">
        <f t="shared" si="8"/>
        <v>93945.41863663499</v>
      </c>
      <c r="X29" s="10">
        <f t="shared" si="9"/>
        <v>-33.07009676324828</v>
      </c>
      <c r="Y29" s="10">
        <f t="shared" si="10"/>
        <v>13.023365587749428</v>
      </c>
      <c r="Z29" s="58">
        <v>0.33100000000000002</v>
      </c>
      <c r="AA29" s="50">
        <v>-1.087</v>
      </c>
      <c r="AB29" s="50">
        <v>2.2559999999999998</v>
      </c>
      <c r="AC29" s="10">
        <f t="shared" si="24"/>
        <v>2.1604938271604611E-2</v>
      </c>
      <c r="AE29" s="10">
        <f t="shared" si="25"/>
        <v>5368.3096363791428</v>
      </c>
      <c r="AF29" s="10">
        <f t="shared" si="11"/>
        <v>173933.23221868422</v>
      </c>
    </row>
    <row r="30" spans="1:32" x14ac:dyDescent="0.35">
      <c r="A30" s="50">
        <v>19</v>
      </c>
      <c r="B30" s="21">
        <f t="shared" si="12"/>
        <v>33.299999999999997</v>
      </c>
      <c r="C30" s="21">
        <v>34.200000000000003</v>
      </c>
      <c r="D30" s="21">
        <f t="shared" si="13"/>
        <v>0.76</v>
      </c>
      <c r="E30" s="22">
        <f t="shared" si="14"/>
        <v>3.9528216899167576</v>
      </c>
      <c r="F30" s="22">
        <f t="shared" si="0"/>
        <v>0.16519000207452064</v>
      </c>
      <c r="G30" s="22">
        <f t="shared" si="15"/>
        <v>9.4646899366273463</v>
      </c>
      <c r="H30" s="22">
        <f t="shared" si="1"/>
        <v>220.39480769799164</v>
      </c>
      <c r="I30" s="22">
        <f t="shared" si="16"/>
        <v>3.0002060294751196</v>
      </c>
      <c r="J30" s="22">
        <f t="shared" si="2"/>
        <v>2.8805943319568446</v>
      </c>
      <c r="K30" s="22">
        <f t="shared" si="17"/>
        <v>5.6101410062982145E-2</v>
      </c>
      <c r="L30" s="22">
        <f t="shared" si="18"/>
        <v>0.96426597166264183</v>
      </c>
      <c r="M30" s="22">
        <f t="shared" si="3"/>
        <v>4.1885756130269639E-2</v>
      </c>
      <c r="N30" s="22">
        <f t="shared" si="4"/>
        <v>0.21335445089204697</v>
      </c>
      <c r="O30" s="22">
        <f t="shared" si="5"/>
        <v>0.17020076742469162</v>
      </c>
      <c r="P30" s="22">
        <f t="shared" si="19"/>
        <v>1.2535457631614351</v>
      </c>
      <c r="Q30" s="22">
        <f t="shared" si="20"/>
        <v>51.958800897721581</v>
      </c>
      <c r="R30" s="22">
        <f t="shared" si="6"/>
        <v>53.683954686005322</v>
      </c>
      <c r="S30" s="22">
        <f t="shared" si="7"/>
        <v>1729.1801944374436</v>
      </c>
      <c r="T30" s="22">
        <f t="shared" si="21"/>
        <v>3208.1863514531738</v>
      </c>
      <c r="U30" s="22">
        <f t="shared" si="22"/>
        <v>276.33283251583487</v>
      </c>
      <c r="V30" s="22">
        <f t="shared" si="23"/>
        <v>2931.8535189373388</v>
      </c>
      <c r="W30" s="22">
        <f t="shared" si="8"/>
        <v>97630.722180613375</v>
      </c>
      <c r="X30" s="10">
        <f t="shared" si="9"/>
        <v>-37.874397936829119</v>
      </c>
      <c r="Y30" s="10">
        <f t="shared" si="10"/>
        <v>14.624799312276371</v>
      </c>
      <c r="Z30" s="58">
        <v>0.33100000000000002</v>
      </c>
      <c r="AA30" s="50">
        <v>-1.175</v>
      </c>
      <c r="AB30" s="50">
        <v>2.343</v>
      </c>
      <c r="AC30" s="10">
        <f t="shared" si="24"/>
        <v>2.1604938271604611E-2</v>
      </c>
      <c r="AE30" s="10">
        <f t="shared" si="25"/>
        <v>5277.3363340872102</v>
      </c>
      <c r="AF30" s="10">
        <f t="shared" si="11"/>
        <v>180484.90262578259</v>
      </c>
    </row>
    <row r="31" spans="1:32" x14ac:dyDescent="0.35">
      <c r="A31" s="50">
        <v>20</v>
      </c>
      <c r="B31" s="21">
        <f t="shared" si="12"/>
        <v>35.1</v>
      </c>
      <c r="C31" s="21">
        <v>36</v>
      </c>
      <c r="D31" s="21">
        <f t="shared" si="13"/>
        <v>0.8</v>
      </c>
      <c r="E31" s="22">
        <f t="shared" si="14"/>
        <v>4.1608649367544821</v>
      </c>
      <c r="F31" s="22">
        <f t="shared" si="0"/>
        <v>0.15724091767301715</v>
      </c>
      <c r="G31" s="22">
        <f t="shared" si="15"/>
        <v>9.0092409494279195</v>
      </c>
      <c r="H31" s="22">
        <f t="shared" si="1"/>
        <v>231.99453441893854</v>
      </c>
      <c r="I31" s="22">
        <f t="shared" si="16"/>
        <v>2.8620940172507487</v>
      </c>
      <c r="J31" s="22">
        <f t="shared" si="2"/>
        <v>2.3947314022101911</v>
      </c>
      <c r="K31" s="22">
        <f t="shared" si="17"/>
        <v>9.1197170991757989E-2</v>
      </c>
      <c r="L31" s="22">
        <f t="shared" si="18"/>
        <v>0.94186129784665529</v>
      </c>
      <c r="M31" s="22">
        <f t="shared" si="3"/>
        <v>3.7959700869933083E-2</v>
      </c>
      <c r="N31" s="22">
        <f t="shared" si="4"/>
        <v>0.19828360934976935</v>
      </c>
      <c r="O31" s="22">
        <f t="shared" si="5"/>
        <v>0.16194088630108383</v>
      </c>
      <c r="P31" s="22">
        <f t="shared" si="19"/>
        <v>1.2244196872006516</v>
      </c>
      <c r="Q31" s="22">
        <f t="shared" si="20"/>
        <v>54.767384730030862</v>
      </c>
      <c r="R31" s="22">
        <f t="shared" si="6"/>
        <v>56.406705542579047</v>
      </c>
      <c r="S31" s="22">
        <f t="shared" si="7"/>
        <v>1909.0298581003306</v>
      </c>
      <c r="T31" s="22">
        <f t="shared" si="21"/>
        <v>3142.8426206909908</v>
      </c>
      <c r="U31" s="22">
        <f t="shared" si="22"/>
        <v>291.40647929513233</v>
      </c>
      <c r="V31" s="22">
        <f t="shared" si="23"/>
        <v>2851.4361413958586</v>
      </c>
      <c r="W31" s="22">
        <f t="shared" si="8"/>
        <v>100085.40856299463</v>
      </c>
      <c r="X31" s="10">
        <f t="shared" si="9"/>
        <v>-42.938391065738642</v>
      </c>
      <c r="Y31" s="10">
        <f t="shared" si="10"/>
        <v>16.312797021912882</v>
      </c>
      <c r="Z31" s="58">
        <v>0.33100000000000002</v>
      </c>
      <c r="AA31" s="50">
        <v>-1.2629999999999999</v>
      </c>
      <c r="AB31" s="50">
        <v>2.4312999999999998</v>
      </c>
      <c r="AC31" s="10">
        <f t="shared" si="24"/>
        <v>2.1604938271604611E-2</v>
      </c>
      <c r="AE31" s="10">
        <f t="shared" si="25"/>
        <v>5132.5850545125459</v>
      </c>
      <c r="AF31" s="10">
        <f t="shared" si="11"/>
        <v>184773.06196245164</v>
      </c>
    </row>
    <row r="32" spans="1:32" x14ac:dyDescent="0.35">
      <c r="A32" s="10">
        <v>21</v>
      </c>
      <c r="B32" s="21">
        <f t="shared" si="12"/>
        <v>36.9</v>
      </c>
      <c r="C32" s="21">
        <v>37.799999999999997</v>
      </c>
      <c r="D32" s="21">
        <f t="shared" si="13"/>
        <v>0.84</v>
      </c>
      <c r="E32" s="22">
        <f t="shared" si="14"/>
        <v>4.3689081835922048</v>
      </c>
      <c r="F32" s="22">
        <f t="shared" si="0"/>
        <v>0.15000935553343195</v>
      </c>
      <c r="G32" s="22">
        <f t="shared" si="15"/>
        <v>8.5949029595430932</v>
      </c>
      <c r="H32" s="22">
        <f t="shared" si="1"/>
        <v>243.59426113988545</v>
      </c>
      <c r="I32" s="22">
        <f t="shared" si="16"/>
        <v>2.7356415467755313</v>
      </c>
      <c r="J32" s="22">
        <f t="shared" si="2"/>
        <v>1.9118052124995939</v>
      </c>
      <c r="K32" s="22">
        <f t="shared" si="17"/>
        <v>0.14781331116711502</v>
      </c>
      <c r="L32" s="22">
        <f t="shared" si="18"/>
        <v>0.90555304513907808</v>
      </c>
      <c r="M32" s="22">
        <f t="shared" si="3"/>
        <v>3.4554831325149547E-2</v>
      </c>
      <c r="N32" s="22">
        <f t="shared" si="4"/>
        <v>0.18180452564427896</v>
      </c>
      <c r="O32" s="22">
        <f t="shared" si="5"/>
        <v>0.15443560800958336</v>
      </c>
      <c r="P32" s="22">
        <f t="shared" si="19"/>
        <v>1.1772189586808066</v>
      </c>
      <c r="Q32" s="22">
        <f t="shared" si="20"/>
        <v>57.575968562340137</v>
      </c>
      <c r="R32" s="22">
        <f t="shared" si="6"/>
        <v>59.137485200941541</v>
      </c>
      <c r="S32" s="22">
        <f t="shared" si="7"/>
        <v>2098.3452935349478</v>
      </c>
      <c r="T32" s="22">
        <f t="shared" si="21"/>
        <v>3029.7232703221489</v>
      </c>
      <c r="U32" s="22">
        <f t="shared" si="22"/>
        <v>306.49616603620234</v>
      </c>
      <c r="V32" s="22">
        <f t="shared" si="23"/>
        <v>2723.2271042859466</v>
      </c>
      <c r="W32" s="22">
        <f t="shared" si="8"/>
        <v>100487.08014815142</v>
      </c>
      <c r="X32" s="10">
        <f t="shared" si="9"/>
        <v>-48.262076149976821</v>
      </c>
      <c r="Y32" s="10">
        <f t="shared" si="10"/>
        <v>18.087358716658937</v>
      </c>
      <c r="Z32" s="58">
        <v>0.33200000000000002</v>
      </c>
      <c r="AA32" s="50">
        <v>-1.351</v>
      </c>
      <c r="AB32" s="50">
        <v>2.5190000000000001</v>
      </c>
      <c r="AC32" s="10">
        <f t="shared" si="24"/>
        <v>1.2195121951219521E-2</v>
      </c>
      <c r="AE32" s="10">
        <f t="shared" si="25"/>
        <v>4901.8087877147036</v>
      </c>
      <c r="AF32" s="10">
        <f t="shared" si="11"/>
        <v>185288.37217561578</v>
      </c>
    </row>
    <row r="33" spans="1:32" x14ac:dyDescent="0.35">
      <c r="A33" s="10">
        <v>22</v>
      </c>
      <c r="B33" s="21">
        <f t="shared" si="12"/>
        <v>38.700000000000003</v>
      </c>
      <c r="C33" s="21">
        <v>39.6</v>
      </c>
      <c r="D33" s="21">
        <f t="shared" si="13"/>
        <v>0.88</v>
      </c>
      <c r="E33" s="22">
        <f t="shared" si="14"/>
        <v>4.5769514304299301</v>
      </c>
      <c r="F33" s="22">
        <f t="shared" si="0"/>
        <v>0.14340385420547627</v>
      </c>
      <c r="G33" s="22">
        <f t="shared" si="15"/>
        <v>8.2164356118831723</v>
      </c>
      <c r="H33" s="22">
        <f t="shared" si="1"/>
        <v>255.19398786083241</v>
      </c>
      <c r="I33" s="22">
        <f t="shared" si="16"/>
        <v>2.6194957789005886</v>
      </c>
      <c r="J33" s="22">
        <f t="shared" si="2"/>
        <v>1.4312600556421569</v>
      </c>
      <c r="K33" s="22">
        <f t="shared" si="17"/>
        <v>0.23900756958649333</v>
      </c>
      <c r="L33" s="22">
        <f t="shared" si="18"/>
        <v>0.84635584745679748</v>
      </c>
      <c r="M33" s="22">
        <f t="shared" si="3"/>
        <v>3.1583765274271453E-2</v>
      </c>
      <c r="N33" s="22">
        <f t="shared" si="4"/>
        <v>0.16238472530427298</v>
      </c>
      <c r="O33" s="22">
        <f t="shared" si="5"/>
        <v>0.14758724422177499</v>
      </c>
      <c r="P33" s="22">
        <f t="shared" si="19"/>
        <v>1.1002626016938311</v>
      </c>
      <c r="Q33" s="22">
        <f t="shared" si="20"/>
        <v>60.384552394649418</v>
      </c>
      <c r="R33" s="22">
        <f t="shared" si="6"/>
        <v>61.875230649284539</v>
      </c>
      <c r="S33" s="22">
        <f t="shared" si="7"/>
        <v>2297.1265007412962</v>
      </c>
      <c r="T33" s="22">
        <f t="shared" si="21"/>
        <v>2838.5170234097736</v>
      </c>
      <c r="U33" s="22">
        <f t="shared" si="22"/>
        <v>321.59954421418382</v>
      </c>
      <c r="V33" s="22">
        <f t="shared" si="23"/>
        <v>2516.9174791955897</v>
      </c>
      <c r="W33" s="22">
        <f t="shared" si="8"/>
        <v>97404.706444869327</v>
      </c>
      <c r="X33" s="10">
        <f t="shared" si="9"/>
        <v>-53.845453189543754</v>
      </c>
      <c r="Y33" s="10">
        <f t="shared" si="10"/>
        <v>19.948484396514583</v>
      </c>
      <c r="Z33" s="58">
        <v>0.33200000000000002</v>
      </c>
      <c r="AA33" s="50">
        <v>-1.4390000000000001</v>
      </c>
      <c r="AB33" s="50">
        <v>2.6070000000000002</v>
      </c>
      <c r="AC33" s="10">
        <f t="shared" si="24"/>
        <v>1.2195121951219521E-2</v>
      </c>
      <c r="AE33" s="10">
        <f t="shared" si="25"/>
        <v>4530.4514625520615</v>
      </c>
      <c r="AF33" s="10">
        <f t="shared" si="11"/>
        <v>179405.87791706165</v>
      </c>
    </row>
    <row r="34" spans="1:32" x14ac:dyDescent="0.35">
      <c r="A34" s="10">
        <v>23</v>
      </c>
      <c r="B34" s="21">
        <f t="shared" si="12"/>
        <v>40.5</v>
      </c>
      <c r="C34" s="21">
        <v>41.4</v>
      </c>
      <c r="D34" s="21">
        <f t="shared" si="13"/>
        <v>0.91999999999999993</v>
      </c>
      <c r="E34" s="22">
        <f t="shared" si="14"/>
        <v>4.7849946772676537</v>
      </c>
      <c r="F34" s="22">
        <f t="shared" si="0"/>
        <v>0.13734763086524987</v>
      </c>
      <c r="G34" s="22">
        <f t="shared" si="15"/>
        <v>7.8694395746995767</v>
      </c>
      <c r="H34" s="22">
        <f t="shared" si="1"/>
        <v>266.79371458177934</v>
      </c>
      <c r="I34" s="22">
        <f t="shared" si="16"/>
        <v>2.5124944527760888</v>
      </c>
      <c r="J34" s="22">
        <f t="shared" si="2"/>
        <v>0.95266136863915873</v>
      </c>
      <c r="K34" s="22">
        <f t="shared" si="17"/>
        <v>0.38571313142970604</v>
      </c>
      <c r="L34" s="22">
        <f t="shared" si="18"/>
        <v>0.74791089479627093</v>
      </c>
      <c r="M34" s="22">
        <f t="shared" si="3"/>
        <v>2.8976515336976896E-2</v>
      </c>
      <c r="N34" s="22">
        <f t="shared" si="4"/>
        <v>0.13739744687920818</v>
      </c>
      <c r="O34" s="22">
        <f t="shared" si="5"/>
        <v>0.14131408499140374</v>
      </c>
      <c r="P34" s="22">
        <f t="shared" si="19"/>
        <v>0.97228416323515232</v>
      </c>
      <c r="Q34" s="22">
        <f t="shared" si="20"/>
        <v>63.193136226958686</v>
      </c>
      <c r="R34" s="22">
        <f t="shared" si="6"/>
        <v>64.619056525137836</v>
      </c>
      <c r="S34" s="22">
        <f t="shared" si="7"/>
        <v>2505.3734797193752</v>
      </c>
      <c r="T34" s="22">
        <f t="shared" si="21"/>
        <v>2513.8937507797896</v>
      </c>
      <c r="U34" s="22">
        <f t="shared" si="22"/>
        <v>336.71468440780598</v>
      </c>
      <c r="V34" s="22">
        <f t="shared" si="23"/>
        <v>2177.1790663719835</v>
      </c>
      <c r="W34" s="22">
        <f t="shared" si="8"/>
        <v>88175.752188065337</v>
      </c>
      <c r="X34" s="10">
        <f t="shared" si="9"/>
        <v>-59.688522184439321</v>
      </c>
      <c r="Y34" s="10">
        <f t="shared" si="10"/>
        <v>21.896174061479776</v>
      </c>
      <c r="Z34" s="58">
        <v>0.33200000000000002</v>
      </c>
      <c r="AA34" s="50">
        <v>-1.5269999999999999</v>
      </c>
      <c r="AB34" s="50">
        <v>2.6949999999999998</v>
      </c>
      <c r="AC34" s="10">
        <f t="shared" si="24"/>
        <v>1.2195121951219521E-2</v>
      </c>
      <c r="AE34" s="10">
        <f t="shared" si="25"/>
        <v>3918.9223194695705</v>
      </c>
      <c r="AF34" s="10">
        <f t="shared" si="11"/>
        <v>162243.38402604021</v>
      </c>
    </row>
    <row r="35" spans="1:32" x14ac:dyDescent="0.35">
      <c r="A35" s="10">
        <v>24</v>
      </c>
      <c r="B35" s="21">
        <f t="shared" si="12"/>
        <v>42.3</v>
      </c>
      <c r="C35" s="21">
        <v>43.2</v>
      </c>
      <c r="D35" s="21">
        <f t="shared" si="13"/>
        <v>0.96000000000000008</v>
      </c>
      <c r="E35" s="22">
        <f t="shared" si="14"/>
        <v>4.9930379241053782</v>
      </c>
      <c r="F35" s="22">
        <f t="shared" si="0"/>
        <v>0.1317757939890048</v>
      </c>
      <c r="G35" s="22">
        <f t="shared" si="15"/>
        <v>7.5501968375553776</v>
      </c>
      <c r="H35" s="22">
        <f t="shared" si="1"/>
        <v>278.39344130272627</v>
      </c>
      <c r="I35" s="22">
        <f t="shared" si="16"/>
        <v>2.413635811486571</v>
      </c>
      <c r="J35" s="22">
        <f t="shared" si="2"/>
        <v>0.47566589572103907</v>
      </c>
      <c r="K35" s="22">
        <f t="shared" si="17"/>
        <v>0.62147108371358062</v>
      </c>
      <c r="L35" s="22">
        <f t="shared" si="18"/>
        <v>0.57307066044334365</v>
      </c>
      <c r="M35" s="22">
        <f t="shared" si="3"/>
        <v>2.6676532654285125E-2</v>
      </c>
      <c r="N35" s="22">
        <f t="shared" si="4"/>
        <v>0.10098163116890047</v>
      </c>
      <c r="O35" s="22">
        <f t="shared" si="5"/>
        <v>0.13554729492195167</v>
      </c>
      <c r="P35" s="22">
        <f t="shared" si="19"/>
        <v>0.74499185857634298</v>
      </c>
      <c r="Q35" s="22">
        <f t="shared" si="20"/>
        <v>66.001720059267953</v>
      </c>
      <c r="R35" s="22">
        <f t="shared" si="6"/>
        <v>67.368219887287907</v>
      </c>
      <c r="S35" s="22">
        <f t="shared" si="7"/>
        <v>2723.0862304691846</v>
      </c>
      <c r="T35" s="22">
        <f t="shared" si="21"/>
        <v>1930.1182595004534</v>
      </c>
      <c r="U35" s="22">
        <f t="shared" si="22"/>
        <v>351.8399899417783</v>
      </c>
      <c r="V35" s="22">
        <f t="shared" si="23"/>
        <v>1578.2782695586752</v>
      </c>
      <c r="W35" s="22">
        <f t="shared" si="8"/>
        <v>66761.170802331952</v>
      </c>
      <c r="X35" s="10">
        <f t="shared" si="9"/>
        <v>-65.79128313466363</v>
      </c>
      <c r="Y35" s="10">
        <f t="shared" si="10"/>
        <v>23.930427711554543</v>
      </c>
      <c r="Z35" s="58">
        <v>0.33200000000000002</v>
      </c>
      <c r="AA35" s="50">
        <v>-1.6160000000000001</v>
      </c>
      <c r="AB35" s="50">
        <v>2.7839999999999998</v>
      </c>
      <c r="AC35" s="10">
        <f t="shared" si="24"/>
        <v>1.2195121951219521E-2</v>
      </c>
      <c r="AE35" s="10">
        <f t="shared" si="25"/>
        <v>2840.9008852056154</v>
      </c>
      <c r="AF35" s="10">
        <f t="shared" si="11"/>
        <v>122726.91824088259</v>
      </c>
    </row>
    <row r="36" spans="1:32" x14ac:dyDescent="0.35">
      <c r="A36" s="10">
        <v>25</v>
      </c>
      <c r="B36" s="21">
        <f t="shared" si="12"/>
        <v>44.1</v>
      </c>
      <c r="C36" s="21">
        <v>45</v>
      </c>
      <c r="D36" s="21">
        <f t="shared" si="13"/>
        <v>1</v>
      </c>
      <c r="E36" s="53">
        <f t="shared" si="14"/>
        <v>5.2010811709431026</v>
      </c>
      <c r="F36" s="22">
        <f t="shared" si="0"/>
        <v>0.12663315832221103</v>
      </c>
      <c r="G36" s="22">
        <f t="shared" si="15"/>
        <v>7.2555455182746487</v>
      </c>
      <c r="H36" s="22">
        <f t="shared" si="1"/>
        <v>289.99316802367321</v>
      </c>
      <c r="I36" s="22">
        <f t="shared" si="16"/>
        <v>2.322053436793369</v>
      </c>
      <c r="J36" s="22">
        <f t="shared" si="2"/>
        <v>0</v>
      </c>
      <c r="K36" s="22">
        <f t="shared" si="17"/>
        <v>1</v>
      </c>
      <c r="L36" s="22">
        <f t="shared" si="18"/>
        <v>0</v>
      </c>
      <c r="M36" s="22">
        <f t="shared" si="3"/>
        <v>2.4637752172612576E-2</v>
      </c>
      <c r="N36" s="22">
        <f t="shared" si="4"/>
        <v>0</v>
      </c>
      <c r="O36" s="22">
        <f t="shared" si="5"/>
        <v>0.13022849827239824</v>
      </c>
      <c r="P36" s="22">
        <f t="shared" si="19"/>
        <v>0</v>
      </c>
      <c r="Q36" s="22">
        <f t="shared" si="20"/>
        <v>68.810303891577234</v>
      </c>
      <c r="R36" s="22">
        <f t="shared" si="6"/>
        <v>70.122092963995371</v>
      </c>
      <c r="S36" s="22">
        <f t="shared" si="7"/>
        <v>2950.2647529907254</v>
      </c>
      <c r="T36" s="22">
        <f t="shared" si="21"/>
        <v>0</v>
      </c>
      <c r="U36" s="22">
        <f t="shared" si="22"/>
        <v>366.97413037664154</v>
      </c>
      <c r="V36" s="22">
        <f t="shared" si="23"/>
        <v>-366.97413037664154</v>
      </c>
      <c r="W36" s="22">
        <f t="shared" si="8"/>
        <v>-16183.559149609893</v>
      </c>
      <c r="X36" s="10">
        <f t="shared" si="9"/>
        <v>-72.153736040216629</v>
      </c>
      <c r="Y36" s="10">
        <f t="shared" si="10"/>
        <v>26.051245346738874</v>
      </c>
      <c r="Z36" s="58">
        <v>0.33200000000000002</v>
      </c>
      <c r="AA36" s="50">
        <v>-1.7050000000000001</v>
      </c>
      <c r="AB36" s="50">
        <v>2.8719999999999999</v>
      </c>
      <c r="AC36" s="10">
        <f t="shared" si="24"/>
        <v>1.2195121951219521E-2</v>
      </c>
      <c r="AE36" s="10">
        <f t="shared" si="25"/>
        <v>-660.55343467795478</v>
      </c>
      <c r="AF36" s="10">
        <f t="shared" si="11"/>
        <v>-29724.904560507966</v>
      </c>
    </row>
    <row r="38" spans="1:32" x14ac:dyDescent="0.35">
      <c r="U38" s="115" t="s">
        <v>94</v>
      </c>
      <c r="V38" s="115"/>
      <c r="W38" s="115"/>
      <c r="Y38" s="115" t="s">
        <v>94</v>
      </c>
      <c r="Z38" s="115"/>
      <c r="AA38" s="115"/>
    </row>
    <row r="39" spans="1:32" x14ac:dyDescent="0.35">
      <c r="U39" s="116" t="s">
        <v>95</v>
      </c>
      <c r="V39" s="33">
        <f>SUM(W12:W36)</f>
        <v>1404191.01222979</v>
      </c>
      <c r="W39" s="33"/>
      <c r="Y39" s="116" t="s">
        <v>95</v>
      </c>
      <c r="Z39" s="33">
        <f>SUM(AF12:AF36)</f>
        <v>2633284.0415486027</v>
      </c>
      <c r="AA39" s="33"/>
    </row>
    <row r="40" spans="1:32" x14ac:dyDescent="0.35">
      <c r="U40" s="116"/>
      <c r="V40" s="33">
        <f>V39-(W12/2)-(W36/2)</f>
        <v>1411603.1124863604</v>
      </c>
      <c r="W40" s="33"/>
      <c r="Y40" s="116"/>
      <c r="Z40" s="33">
        <f>Z39-(AF12/2)-(AF36/2)</f>
        <v>2645699.6482832124</v>
      </c>
      <c r="AA40" s="33"/>
    </row>
    <row r="41" spans="1:32" x14ac:dyDescent="0.35">
      <c r="U41" s="113" t="s">
        <v>96</v>
      </c>
      <c r="V41" s="114">
        <f>V40*1.8</f>
        <v>2540885.6024754485</v>
      </c>
      <c r="W41" s="114" t="s">
        <v>97</v>
      </c>
      <c r="Y41" s="113" t="s">
        <v>96</v>
      </c>
      <c r="Z41" s="114">
        <f>Z40*(1-0.04)</f>
        <v>2539871.6623518839</v>
      </c>
      <c r="AA41" s="114" t="s">
        <v>97</v>
      </c>
    </row>
    <row r="42" spans="1:32" x14ac:dyDescent="0.35">
      <c r="U42" s="113"/>
      <c r="V42" s="114"/>
      <c r="W42" s="114"/>
      <c r="Y42" s="113"/>
      <c r="Z42" s="114"/>
      <c r="AA42" s="114"/>
    </row>
    <row r="54" spans="1:33" ht="18.5" x14ac:dyDescent="0.45">
      <c r="A54" s="119" t="s">
        <v>150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6" spans="1:33" x14ac:dyDescent="0.35">
      <c r="A56" s="26" t="s">
        <v>125</v>
      </c>
      <c r="B56" s="26" t="s">
        <v>126</v>
      </c>
      <c r="C56" s="26" t="s">
        <v>55</v>
      </c>
      <c r="D56" s="26" t="s">
        <v>106</v>
      </c>
      <c r="E56" s="26" t="s">
        <v>141</v>
      </c>
      <c r="F56" s="30" t="s">
        <v>142</v>
      </c>
      <c r="G56" s="30" t="s">
        <v>143</v>
      </c>
      <c r="H56" s="26" t="s">
        <v>144</v>
      </c>
      <c r="I56" s="26" t="s">
        <v>145</v>
      </c>
      <c r="J56" s="26" t="s">
        <v>112</v>
      </c>
      <c r="K56" s="26" t="s">
        <v>127</v>
      </c>
      <c r="L56" s="118" t="s">
        <v>82</v>
      </c>
      <c r="M56" s="118"/>
      <c r="N56" s="118" t="s">
        <v>128</v>
      </c>
      <c r="O56" s="118"/>
      <c r="P56" s="118"/>
      <c r="Q56" s="26" t="s">
        <v>129</v>
      </c>
      <c r="R56" s="118" t="s">
        <v>75</v>
      </c>
      <c r="S56" s="118"/>
      <c r="T56" s="118"/>
      <c r="U56" s="26" t="s">
        <v>130</v>
      </c>
      <c r="V56" s="26" t="s">
        <v>131</v>
      </c>
      <c r="W56" s="26" t="s">
        <v>114</v>
      </c>
      <c r="X56" s="26" t="s">
        <v>115</v>
      </c>
      <c r="Y56" s="26" t="s">
        <v>89</v>
      </c>
      <c r="Z56" s="26" t="s">
        <v>90</v>
      </c>
      <c r="AB56" s="122" t="s">
        <v>162</v>
      </c>
      <c r="AC56" s="122"/>
      <c r="AD56" s="122"/>
      <c r="AE56" s="122"/>
      <c r="AF56" s="122"/>
      <c r="AG56" s="122"/>
    </row>
    <row r="57" spans="1:33" x14ac:dyDescent="0.35">
      <c r="A57" s="10"/>
      <c r="B57" s="21"/>
      <c r="C57" s="26">
        <v>0</v>
      </c>
      <c r="D57" s="26"/>
      <c r="E57" s="57">
        <v>0</v>
      </c>
      <c r="F57" s="78">
        <v>0.25</v>
      </c>
      <c r="L57" s="26" t="s">
        <v>132</v>
      </c>
      <c r="M57" s="26" t="s">
        <v>82</v>
      </c>
      <c r="N57" s="26" t="s">
        <v>132</v>
      </c>
      <c r="O57" s="26" t="s">
        <v>133</v>
      </c>
      <c r="P57" s="26" t="s">
        <v>128</v>
      </c>
      <c r="Q57" s="26"/>
      <c r="R57" s="26" t="s">
        <v>134</v>
      </c>
      <c r="S57" s="26" t="s">
        <v>135</v>
      </c>
      <c r="T57" s="26" t="s">
        <v>75</v>
      </c>
      <c r="U57" s="26"/>
      <c r="V57" s="26"/>
      <c r="W57" s="26"/>
      <c r="X57" s="26"/>
      <c r="Y57" s="26"/>
      <c r="Z57" s="26">
        <v>0</v>
      </c>
      <c r="AB57" s="65" t="s">
        <v>134</v>
      </c>
      <c r="AC57" s="66" t="s">
        <v>135</v>
      </c>
      <c r="AD57" s="66" t="s">
        <v>75</v>
      </c>
      <c r="AE57" s="66" t="s">
        <v>114</v>
      </c>
      <c r="AF57" s="66" t="s">
        <v>89</v>
      </c>
      <c r="AG57" s="66" t="s">
        <v>90</v>
      </c>
    </row>
    <row r="58" spans="1:33" x14ac:dyDescent="0.35">
      <c r="A58" s="10">
        <v>1</v>
      </c>
      <c r="B58" s="21">
        <f>AVERAGE(C57:C58)</f>
        <v>0.9</v>
      </c>
      <c r="C58" s="21">
        <v>1.8</v>
      </c>
      <c r="D58" s="21">
        <f>C58/D$1</f>
        <v>0.04</v>
      </c>
      <c r="E58" s="22">
        <f>(D$5*C58)/D$4</f>
        <v>0.20804324683772407</v>
      </c>
      <c r="F58" s="79">
        <v>0.28979857482486793</v>
      </c>
      <c r="G58" s="82">
        <v>1.515241086225894</v>
      </c>
      <c r="H58" s="55">
        <f>D$4*(1-F58)</f>
        <v>9.587719239864283</v>
      </c>
      <c r="I58" s="55">
        <f t="shared" ref="I58:I82" si="26">Q12*(1+G58)</f>
        <v>3.5321327245670324</v>
      </c>
      <c r="J58" s="55">
        <f>(ATAN(H58/I58))*0.67</f>
        <v>0.81594135536203827</v>
      </c>
      <c r="K58" s="55">
        <f>DEGREES(J58)</f>
        <v>46.749995992428893</v>
      </c>
      <c r="L58" s="23">
        <f t="shared" ref="L58:L82" si="27">(8*PI()*C58)/(G$4*G$2)</f>
        <v>11.599726720946927</v>
      </c>
      <c r="M58" s="23">
        <f>L58*(1-COS(J58))</f>
        <v>3.6517906883587288</v>
      </c>
      <c r="N58" s="23">
        <f t="shared" ref="N58:N81" si="28">(G$5*(1-D58))/(D58*SIN(J58))</f>
        <v>49.425366821717063</v>
      </c>
      <c r="O58" s="56">
        <f>EXP(-N58)</f>
        <v>3.4263831313018346E-22</v>
      </c>
      <c r="P58">
        <f>(2*ACOS(O58))/PI()</f>
        <v>1</v>
      </c>
      <c r="Q58" s="23">
        <f t="shared" ref="Q58:Q82" si="29">(G$4*M58)/(2*PI()*C58)</f>
        <v>0.96866756531541132</v>
      </c>
      <c r="R58" s="23">
        <f t="shared" ref="R58:R82" si="30">(4*P58*SIN(J58))*(COS(J58)-(E58*SIN(J58)))</f>
        <v>1.5547817055874684</v>
      </c>
      <c r="S58" s="23">
        <f t="shared" ref="S58:S82" si="31">Q58*(SIN(J58)+(E58*COS(J58)))</f>
        <v>0.84363062555983226</v>
      </c>
      <c r="T58" s="23">
        <f>R58/S58</f>
        <v>1.8429649878532055</v>
      </c>
      <c r="U58" s="23">
        <f>((H58*H58)+(I58*I58))^(1/2)</f>
        <v>10.217647567146807</v>
      </c>
      <c r="V58" s="23">
        <f t="shared" ref="V58:V82" si="32">0.5*D$6*U58*U58</f>
        <v>62.640193083852637</v>
      </c>
      <c r="W58">
        <f>G$4*V58*M58*T58*SIN(J58)</f>
        <v>921.19146093853544</v>
      </c>
      <c r="X58">
        <f>G$4*V58*M58*0.071*COS(J58)</f>
        <v>33.3845228480888</v>
      </c>
      <c r="Y58">
        <f>W58-X58</f>
        <v>887.80693809044669</v>
      </c>
      <c r="Z58">
        <f t="shared" ref="Z58:Z82" si="33">Y58*C58</f>
        <v>1598.052488562804</v>
      </c>
      <c r="AB58" s="23">
        <f xml:space="preserve"> G58*4*COS(J58)</f>
        <v>4.1528699828851652</v>
      </c>
      <c r="AC58" s="23">
        <f>(1+G58)*Q58</f>
        <v>2.4364324591757271</v>
      </c>
      <c r="AD58" s="23">
        <f>AB58/AC58</f>
        <v>1.704488038338698</v>
      </c>
      <c r="AE58">
        <f>G$4*V58*M58*AD58*SIN(J58)</f>
        <v>851.97485385682694</v>
      </c>
      <c r="AF58">
        <f>AE58</f>
        <v>851.97485385682694</v>
      </c>
      <c r="AG58">
        <f>AF58*C58</f>
        <v>1533.5547369422886</v>
      </c>
    </row>
    <row r="59" spans="1:33" x14ac:dyDescent="0.35">
      <c r="A59" s="10">
        <v>2</v>
      </c>
      <c r="B59" s="21">
        <f t="shared" ref="B59:B82" si="34">AVERAGE(C58:C59)</f>
        <v>2.7</v>
      </c>
      <c r="C59" s="21">
        <v>3.6</v>
      </c>
      <c r="D59" s="21">
        <f t="shared" ref="D59:D82" si="35">C59/D$1</f>
        <v>0.08</v>
      </c>
      <c r="E59" s="22">
        <f t="shared" ref="E59:E82" si="36">(D$5*C59)/D$4</f>
        <v>0.41608649367544814</v>
      </c>
      <c r="F59" s="79">
        <v>0.30459674008474363</v>
      </c>
      <c r="G59" s="82">
        <v>0.63710851242160571</v>
      </c>
      <c r="H59" s="55">
        <f t="shared" ref="H59:H82" si="37">D$4*(1-F59)</f>
        <v>9.3879440088559623</v>
      </c>
      <c r="I59" s="55">
        <f t="shared" si="26"/>
        <v>6.8969347495848146</v>
      </c>
      <c r="J59" s="55">
        <f t="shared" ref="J59:J82" si="38">(ATAN(H59/I59))*0.67</f>
        <v>0.62791473016939825</v>
      </c>
      <c r="K59" s="55">
        <f t="shared" ref="K59:K82" si="39">DEGREES(J59)</f>
        <v>35.976863932802424</v>
      </c>
      <c r="L59" s="23">
        <f t="shared" si="27"/>
        <v>23.199453441893855</v>
      </c>
      <c r="M59" s="23">
        <f t="shared" ref="M59:M82" si="40">L59*(1-COS(J59))</f>
        <v>4.4251965334641685</v>
      </c>
      <c r="N59" s="23">
        <f t="shared" si="28"/>
        <v>29.363775191465223</v>
      </c>
      <c r="O59" s="23">
        <f t="shared" ref="O59:O82" si="41">EXP(-N59)</f>
        <v>1.7679682704164361E-13</v>
      </c>
      <c r="P59" s="23">
        <f t="shared" ref="P59:P82" si="42">(2*ACOS(O59))/PI()</f>
        <v>0.99999999999988753</v>
      </c>
      <c r="Q59" s="23">
        <f t="shared" si="29"/>
        <v>0.58690991871161857</v>
      </c>
      <c r="R59" s="23">
        <f t="shared" si="30"/>
        <v>1.3272349821623868</v>
      </c>
      <c r="S59" s="23">
        <f t="shared" si="31"/>
        <v>0.542409409309068</v>
      </c>
      <c r="T59" s="23">
        <f t="shared" ref="T59:T81" si="43">R59/S59</f>
        <v>2.4469247018650457</v>
      </c>
      <c r="U59" s="23">
        <f t="shared" ref="U59:U82" si="44">((H59*H59)+(I59*I59))^(1/2)</f>
        <v>11.649085872009232</v>
      </c>
      <c r="V59" s="23">
        <f t="shared" si="32"/>
        <v>81.420720992067061</v>
      </c>
      <c r="W59">
        <f t="shared" ref="W59:W82" si="45">G$4*V59*M59*T59*SIN(J59)</f>
        <v>1553.7694429283617</v>
      </c>
      <c r="X59">
        <f t="shared" ref="X59:X82" si="46">G$4*V59*M59*0.071*COS(J59)</f>
        <v>62.105793336556957</v>
      </c>
      <c r="Y59">
        <f t="shared" ref="Y59:Y82" si="47">W59-X59</f>
        <v>1491.6636495918049</v>
      </c>
      <c r="Z59">
        <f t="shared" si="33"/>
        <v>5369.9891385304973</v>
      </c>
      <c r="AB59" s="23">
        <f t="shared" ref="AB59:AB82" si="48" xml:space="preserve"> G59*4*COS(J59)</f>
        <v>2.0623311528798243</v>
      </c>
      <c r="AC59" s="23">
        <f t="shared" ref="AC59:AC82" si="49">(1+G59)*Q59</f>
        <v>0.96083522394746335</v>
      </c>
      <c r="AD59" s="23">
        <f t="shared" ref="AD59:AD82" si="50">AB59/AC59</f>
        <v>2.1463942010858137</v>
      </c>
      <c r="AE59">
        <f t="shared" ref="AE59:AE82" si="51">G$4*V59*M59*AD59*SIN(J59)</f>
        <v>1362.935982289865</v>
      </c>
      <c r="AF59">
        <f t="shared" ref="AF59:AF82" si="52">AE59</f>
        <v>1362.935982289865</v>
      </c>
      <c r="AG59">
        <f t="shared" ref="AG59:AG82" si="53">AF59*C59</f>
        <v>4906.5695362435144</v>
      </c>
    </row>
    <row r="60" spans="1:33" x14ac:dyDescent="0.35">
      <c r="A60" s="10">
        <v>3</v>
      </c>
      <c r="B60" s="21">
        <f t="shared" si="34"/>
        <v>4.5</v>
      </c>
      <c r="C60" s="21">
        <v>5.4</v>
      </c>
      <c r="D60" s="21">
        <f t="shared" si="35"/>
        <v>0.12000000000000001</v>
      </c>
      <c r="E60" s="22">
        <f t="shared" si="36"/>
        <v>0.62412974051317227</v>
      </c>
      <c r="F60" s="79">
        <v>0.31430085511143602</v>
      </c>
      <c r="G60" s="82">
        <v>0.3534153611214873</v>
      </c>
      <c r="H60" s="55">
        <f t="shared" si="37"/>
        <v>9.2569384559956145</v>
      </c>
      <c r="I60" s="55">
        <f t="shared" si="26"/>
        <v>9.5029512541120713</v>
      </c>
      <c r="J60" s="55">
        <f t="shared" si="38"/>
        <v>0.51743105006697221</v>
      </c>
      <c r="K60" s="55">
        <f t="shared" si="39"/>
        <v>29.646615357859901</v>
      </c>
      <c r="L60" s="23">
        <f t="shared" si="27"/>
        <v>34.799180162840784</v>
      </c>
      <c r="M60" s="23">
        <f t="shared" si="40"/>
        <v>4.5554641114260352</v>
      </c>
      <c r="N60" s="23">
        <f t="shared" si="28"/>
        <v>22.237985733323789</v>
      </c>
      <c r="O60" s="23">
        <f t="shared" si="41"/>
        <v>2.1986976254028425E-10</v>
      </c>
      <c r="P60" s="23">
        <f t="shared" si="42"/>
        <v>0.99999999986002663</v>
      </c>
      <c r="Q60" s="23">
        <f t="shared" si="29"/>
        <v>0.40279146189510123</v>
      </c>
      <c r="R60" s="23">
        <f t="shared" si="30"/>
        <v>1.1087412544416151</v>
      </c>
      <c r="S60" s="23">
        <f t="shared" si="31"/>
        <v>0.41772526338461718</v>
      </c>
      <c r="T60" s="23">
        <f t="shared" si="43"/>
        <v>2.654235574497084</v>
      </c>
      <c r="U60" s="23">
        <f t="shared" si="44"/>
        <v>13.266385797048141</v>
      </c>
      <c r="V60" s="23">
        <f t="shared" si="32"/>
        <v>105.59819526967237</v>
      </c>
      <c r="W60">
        <f t="shared" si="45"/>
        <v>1894.7289191426407</v>
      </c>
      <c r="X60">
        <f t="shared" si="46"/>
        <v>89.050193686564285</v>
      </c>
      <c r="Y60">
        <f t="shared" si="47"/>
        <v>1805.6787254560763</v>
      </c>
      <c r="Z60">
        <f t="shared" si="33"/>
        <v>9750.6651174628132</v>
      </c>
      <c r="AB60" s="23">
        <f t="shared" si="48"/>
        <v>1.2286029475349476</v>
      </c>
      <c r="AC60" s="23">
        <f t="shared" si="49"/>
        <v>0.54514415185741028</v>
      </c>
      <c r="AD60" s="23">
        <f t="shared" si="50"/>
        <v>2.2537212283188999</v>
      </c>
      <c r="AE60">
        <f t="shared" si="51"/>
        <v>1608.8213224218409</v>
      </c>
      <c r="AF60">
        <f t="shared" si="52"/>
        <v>1608.8213224218409</v>
      </c>
      <c r="AG60">
        <f t="shared" si="53"/>
        <v>8687.6351410779407</v>
      </c>
    </row>
    <row r="61" spans="1:33" x14ac:dyDescent="0.35">
      <c r="A61" s="10">
        <v>4</v>
      </c>
      <c r="B61" s="21">
        <f t="shared" si="34"/>
        <v>6.3000000000000007</v>
      </c>
      <c r="C61" s="21">
        <v>7.2</v>
      </c>
      <c r="D61" s="21">
        <f t="shared" si="35"/>
        <v>0.16</v>
      </c>
      <c r="E61" s="22">
        <f t="shared" si="36"/>
        <v>0.83217298735089629</v>
      </c>
      <c r="F61" s="79">
        <v>0.32059076073053755</v>
      </c>
      <c r="G61" s="82">
        <v>0.22238675468569197</v>
      </c>
      <c r="H61" s="55">
        <f t="shared" si="37"/>
        <v>9.1720247301377427</v>
      </c>
      <c r="I61" s="55">
        <f t="shared" si="26"/>
        <v>12.016114866137336</v>
      </c>
      <c r="J61" s="55">
        <f t="shared" si="38"/>
        <v>0.4368168481157006</v>
      </c>
      <c r="K61" s="55">
        <f t="shared" si="39"/>
        <v>25.027761817236751</v>
      </c>
      <c r="L61" s="23">
        <f t="shared" si="27"/>
        <v>46.39890688378771</v>
      </c>
      <c r="M61" s="23">
        <f t="shared" si="40"/>
        <v>4.3567224623844165</v>
      </c>
      <c r="N61" s="23">
        <f t="shared" si="28"/>
        <v>18.614497535196126</v>
      </c>
      <c r="O61" s="23">
        <f t="shared" si="41"/>
        <v>8.2380881943285262E-9</v>
      </c>
      <c r="P61" s="23">
        <f t="shared" si="42"/>
        <v>0.99999999475547019</v>
      </c>
      <c r="Q61" s="23">
        <f t="shared" si="29"/>
        <v>0.28891413148665579</v>
      </c>
      <c r="R61" s="23">
        <f t="shared" si="30"/>
        <v>0.93757293966458655</v>
      </c>
      <c r="S61" s="23">
        <f t="shared" si="31"/>
        <v>0.340078430014018</v>
      </c>
      <c r="T61" s="23">
        <f t="shared" si="43"/>
        <v>2.7569315102576186</v>
      </c>
      <c r="U61" s="23">
        <f t="shared" si="44"/>
        <v>15.116648243789529</v>
      </c>
      <c r="V61" s="23">
        <f t="shared" si="32"/>
        <v>137.10783247587904</v>
      </c>
      <c r="W61">
        <f t="shared" si="45"/>
        <v>2090.1075625046342</v>
      </c>
      <c r="X61">
        <f t="shared" si="46"/>
        <v>115.28672105212488</v>
      </c>
      <c r="Y61">
        <f t="shared" si="47"/>
        <v>1974.8208414525093</v>
      </c>
      <c r="Z61">
        <f t="shared" si="33"/>
        <v>14218.710058458068</v>
      </c>
      <c r="AB61" s="23">
        <f t="shared" si="48"/>
        <v>0.80602113983336932</v>
      </c>
      <c r="AC61" s="23">
        <f t="shared" si="49"/>
        <v>0.35316480757080843</v>
      </c>
      <c r="AD61" s="23">
        <f t="shared" si="50"/>
        <v>2.2822804610047807</v>
      </c>
      <c r="AE61">
        <f t="shared" si="51"/>
        <v>1730.261210173084</v>
      </c>
      <c r="AF61">
        <f t="shared" si="52"/>
        <v>1730.261210173084</v>
      </c>
      <c r="AG61">
        <f t="shared" si="53"/>
        <v>12457.880713246204</v>
      </c>
    </row>
    <row r="62" spans="1:33" x14ac:dyDescent="0.35">
      <c r="A62" s="10">
        <v>5</v>
      </c>
      <c r="B62" s="21">
        <f t="shared" si="34"/>
        <v>8.1</v>
      </c>
      <c r="C62" s="21">
        <v>9</v>
      </c>
      <c r="D62" s="21">
        <f t="shared" si="35"/>
        <v>0.2</v>
      </c>
      <c r="E62" s="22">
        <f t="shared" si="36"/>
        <v>1.0402162341886205</v>
      </c>
      <c r="F62" s="79">
        <v>0.32469518548197451</v>
      </c>
      <c r="G62" s="82">
        <v>0.15108293520673258</v>
      </c>
      <c r="H62" s="55">
        <f t="shared" si="37"/>
        <v>9.1166149959933449</v>
      </c>
      <c r="I62" s="55">
        <f t="shared" si="26"/>
        <v>14.548108146609303</v>
      </c>
      <c r="J62" s="55">
        <f t="shared" si="38"/>
        <v>0.37505734090971848</v>
      </c>
      <c r="K62" s="55">
        <f t="shared" si="39"/>
        <v>21.489202709526182</v>
      </c>
      <c r="L62" s="23">
        <f t="shared" si="27"/>
        <v>57.998633604734636</v>
      </c>
      <c r="M62" s="23">
        <f t="shared" si="40"/>
        <v>4.0316811742555716</v>
      </c>
      <c r="N62" s="23">
        <f t="shared" si="28"/>
        <v>16.378858965805282</v>
      </c>
      <c r="O62" s="23">
        <f t="shared" si="41"/>
        <v>7.7046325524963785E-8</v>
      </c>
      <c r="P62" s="23">
        <f t="shared" si="42"/>
        <v>0.99999995095078575</v>
      </c>
      <c r="Q62" s="23">
        <f t="shared" si="29"/>
        <v>0.2138873292844371</v>
      </c>
      <c r="R62" s="23">
        <f t="shared" si="30"/>
        <v>0.80507946490373927</v>
      </c>
      <c r="S62" s="23">
        <f t="shared" si="31"/>
        <v>0.28537556945060832</v>
      </c>
      <c r="T62" s="23">
        <f t="shared" si="43"/>
        <v>2.8211225875208608</v>
      </c>
      <c r="U62" s="23">
        <f t="shared" si="44"/>
        <v>17.168579429603685</v>
      </c>
      <c r="V62" s="23">
        <f t="shared" si="32"/>
        <v>176.85607177836647</v>
      </c>
      <c r="W62">
        <f t="shared" si="45"/>
        <v>2210.6346612279494</v>
      </c>
      <c r="X62">
        <f t="shared" si="46"/>
        <v>141.31748191013034</v>
      </c>
      <c r="Y62">
        <f t="shared" si="47"/>
        <v>2069.317179317819</v>
      </c>
      <c r="Z62">
        <f t="shared" si="33"/>
        <v>18623.854613860371</v>
      </c>
      <c r="AB62" s="23">
        <f t="shared" si="48"/>
        <v>0.56232259766156212</v>
      </c>
      <c r="AC62" s="23">
        <f t="shared" si="49"/>
        <v>0.24620205479625881</v>
      </c>
      <c r="AD62" s="23">
        <f t="shared" si="50"/>
        <v>2.2839882393626025</v>
      </c>
      <c r="AE62">
        <f t="shared" si="51"/>
        <v>1789.7356145054907</v>
      </c>
      <c r="AF62">
        <f t="shared" si="52"/>
        <v>1789.7356145054907</v>
      </c>
      <c r="AG62">
        <f t="shared" si="53"/>
        <v>16107.620530549417</v>
      </c>
    </row>
    <row r="63" spans="1:33" x14ac:dyDescent="0.35">
      <c r="A63" s="10">
        <v>6</v>
      </c>
      <c r="B63" s="21">
        <f t="shared" si="34"/>
        <v>9.9</v>
      </c>
      <c r="C63" s="21">
        <v>10.8</v>
      </c>
      <c r="D63" s="21">
        <f t="shared" si="35"/>
        <v>0.24000000000000002</v>
      </c>
      <c r="E63" s="22">
        <f t="shared" si="36"/>
        <v>1.2482594810263445</v>
      </c>
      <c r="F63" s="79">
        <v>0.32741959511674146</v>
      </c>
      <c r="G63" s="82">
        <v>0.10824580794377235</v>
      </c>
      <c r="H63" s="55">
        <f t="shared" si="37"/>
        <v>9.0798354659239902</v>
      </c>
      <c r="I63" s="55">
        <f t="shared" si="26"/>
        <v>17.11930692128475</v>
      </c>
      <c r="J63" s="55">
        <f t="shared" si="38"/>
        <v>0.32673196042398805</v>
      </c>
      <c r="K63" s="55">
        <f t="shared" si="39"/>
        <v>18.720362364329958</v>
      </c>
      <c r="L63" s="23">
        <f t="shared" si="27"/>
        <v>69.598360325681568</v>
      </c>
      <c r="M63" s="23">
        <f t="shared" si="40"/>
        <v>3.6820125023298784</v>
      </c>
      <c r="N63" s="23">
        <f t="shared" si="28"/>
        <v>14.799831514905105</v>
      </c>
      <c r="O63" s="23">
        <f t="shared" si="41"/>
        <v>3.7369289436754091E-7</v>
      </c>
      <c r="P63" s="23">
        <f t="shared" si="42"/>
        <v>0.99999976209971464</v>
      </c>
      <c r="Q63" s="23">
        <f t="shared" si="29"/>
        <v>0.1627806917422108</v>
      </c>
      <c r="R63" s="23">
        <f t="shared" si="30"/>
        <v>0.7015544409472414</v>
      </c>
      <c r="S63" s="23">
        <f t="shared" si="31"/>
        <v>0.2446872973292514</v>
      </c>
      <c r="T63" s="23">
        <f t="shared" si="43"/>
        <v>2.8671469610587477</v>
      </c>
      <c r="U63" s="23">
        <f t="shared" si="44"/>
        <v>19.378185713667808</v>
      </c>
      <c r="V63" s="23">
        <f t="shared" si="32"/>
        <v>225.30844893203945</v>
      </c>
      <c r="W63">
        <f t="shared" si="45"/>
        <v>2290.1861492464609</v>
      </c>
      <c r="X63">
        <f t="shared" si="46"/>
        <v>167.35414318918998</v>
      </c>
      <c r="Y63">
        <f t="shared" si="47"/>
        <v>2122.832006057271</v>
      </c>
      <c r="Z63">
        <f t="shared" si="33"/>
        <v>22926.585665418526</v>
      </c>
      <c r="AB63" s="23">
        <f t="shared" si="48"/>
        <v>0.4100768060312231</v>
      </c>
      <c r="AC63" s="23">
        <f t="shared" si="49"/>
        <v>0.18040101923749255</v>
      </c>
      <c r="AD63" s="23">
        <f t="shared" si="50"/>
        <v>2.2731401838221834</v>
      </c>
      <c r="AE63">
        <f t="shared" si="51"/>
        <v>1815.712356217254</v>
      </c>
      <c r="AF63">
        <f t="shared" si="52"/>
        <v>1815.712356217254</v>
      </c>
      <c r="AG63">
        <f t="shared" si="53"/>
        <v>19609.693447146343</v>
      </c>
    </row>
    <row r="64" spans="1:33" x14ac:dyDescent="0.35">
      <c r="A64" s="50">
        <v>7</v>
      </c>
      <c r="B64" s="21">
        <f t="shared" si="34"/>
        <v>11.7</v>
      </c>
      <c r="C64" s="51">
        <v>12.6</v>
      </c>
      <c r="D64" s="21">
        <f t="shared" si="35"/>
        <v>0.27999999999999997</v>
      </c>
      <c r="E64" s="22">
        <f t="shared" si="36"/>
        <v>1.4563027278640686</v>
      </c>
      <c r="F64" s="79">
        <v>0.32926698172902119</v>
      </c>
      <c r="G64" s="82">
        <v>8.0683396468454502E-2</v>
      </c>
      <c r="H64" s="55">
        <f t="shared" si="37"/>
        <v>9.0548957466582127</v>
      </c>
      <c r="I64" s="55">
        <f t="shared" si="26"/>
        <v>19.728734448581442</v>
      </c>
      <c r="J64" s="55">
        <f t="shared" si="38"/>
        <v>0.28829311401130203</v>
      </c>
      <c r="K64" s="55">
        <f t="shared" si="39"/>
        <v>16.517978695531465</v>
      </c>
      <c r="L64" s="23">
        <f t="shared" si="27"/>
        <v>81.198087046628487</v>
      </c>
      <c r="M64" s="23">
        <f t="shared" si="40"/>
        <v>3.3509989952349413</v>
      </c>
      <c r="N64" s="23">
        <f t="shared" si="28"/>
        <v>13.566384565319442</v>
      </c>
      <c r="O64" s="23">
        <f t="shared" si="41"/>
        <v>1.28290365931284E-6</v>
      </c>
      <c r="P64" s="23">
        <f t="shared" si="42"/>
        <v>0.99999918327816439</v>
      </c>
      <c r="Q64" s="23">
        <f t="shared" si="29"/>
        <v>0.12698287009228942</v>
      </c>
      <c r="R64" s="23">
        <f t="shared" si="30"/>
        <v>0.61944500804164349</v>
      </c>
      <c r="S64" s="23">
        <f t="shared" si="31"/>
        <v>0.21339701623120655</v>
      </c>
      <c r="T64" s="23">
        <f t="shared" si="43"/>
        <v>2.9027819553507781</v>
      </c>
      <c r="U64" s="23">
        <f t="shared" si="44"/>
        <v>21.707466455703511</v>
      </c>
      <c r="V64" s="23">
        <f t="shared" si="32"/>
        <v>282.72845995529588</v>
      </c>
      <c r="W64">
        <f t="shared" si="45"/>
        <v>2345.746596753404</v>
      </c>
      <c r="X64">
        <f t="shared" si="46"/>
        <v>193.47283825271523</v>
      </c>
      <c r="Y64">
        <f t="shared" si="47"/>
        <v>2152.2737585006889</v>
      </c>
      <c r="Z64">
        <f t="shared" si="33"/>
        <v>27118.649357108679</v>
      </c>
      <c r="AB64" s="23">
        <f t="shared" si="48"/>
        <v>0.30941455384575206</v>
      </c>
      <c r="AC64" s="23">
        <f t="shared" si="49"/>
        <v>0.13722827934464787</v>
      </c>
      <c r="AD64" s="23">
        <f t="shared" si="50"/>
        <v>2.2547433759528497</v>
      </c>
      <c r="AE64">
        <f t="shared" si="51"/>
        <v>1822.0647234437345</v>
      </c>
      <c r="AF64">
        <f t="shared" si="52"/>
        <v>1822.0647234437345</v>
      </c>
      <c r="AG64">
        <f t="shared" si="53"/>
        <v>22958.015515391053</v>
      </c>
    </row>
    <row r="65" spans="1:33" x14ac:dyDescent="0.35">
      <c r="A65" s="50">
        <v>8</v>
      </c>
      <c r="B65" s="21">
        <f t="shared" si="34"/>
        <v>13.5</v>
      </c>
      <c r="C65" s="21">
        <v>14.4</v>
      </c>
      <c r="D65" s="21">
        <f t="shared" si="35"/>
        <v>0.32</v>
      </c>
      <c r="E65" s="22">
        <f t="shared" si="36"/>
        <v>1.6643459747017926</v>
      </c>
      <c r="F65" s="79">
        <v>0.33054751365265717</v>
      </c>
      <c r="G65" s="82">
        <v>6.2013287998204956E-2</v>
      </c>
      <c r="H65" s="55">
        <f t="shared" si="37"/>
        <v>9.0376085656891281</v>
      </c>
      <c r="I65" s="55">
        <f t="shared" si="26"/>
        <v>22.37065012777029</v>
      </c>
      <c r="J65" s="55">
        <f t="shared" si="38"/>
        <v>0.25724297368970123</v>
      </c>
      <c r="K65" s="55">
        <f t="shared" si="39"/>
        <v>14.738936701814758</v>
      </c>
      <c r="L65" s="23">
        <f t="shared" si="27"/>
        <v>92.79781376757542</v>
      </c>
      <c r="M65" s="23">
        <f t="shared" si="40"/>
        <v>3.0535044316793067</v>
      </c>
      <c r="N65" s="23">
        <f t="shared" si="28"/>
        <v>12.528731791145971</v>
      </c>
      <c r="O65" s="23">
        <f t="shared" si="41"/>
        <v>3.6211033304563224E-6</v>
      </c>
      <c r="P65" s="23">
        <f t="shared" si="42"/>
        <v>0.999997694734022</v>
      </c>
      <c r="Q65" s="23">
        <f t="shared" si="29"/>
        <v>0.1012459008447438</v>
      </c>
      <c r="R65" s="23">
        <f t="shared" si="30"/>
        <v>0.55326037379407578</v>
      </c>
      <c r="S65" s="23">
        <f t="shared" si="31"/>
        <v>0.18872195650636048</v>
      </c>
      <c r="T65" s="23">
        <f t="shared" si="43"/>
        <v>2.9316163526284198</v>
      </c>
      <c r="U65" s="23">
        <f t="shared" si="44"/>
        <v>24.127253381305678</v>
      </c>
      <c r="V65" s="23">
        <f t="shared" si="32"/>
        <v>349.27461343543575</v>
      </c>
      <c r="W65">
        <f t="shared" si="45"/>
        <v>2386.3659674794935</v>
      </c>
      <c r="X65">
        <f t="shared" si="46"/>
        <v>219.69205618453429</v>
      </c>
      <c r="Y65">
        <f t="shared" si="47"/>
        <v>2166.673911294959</v>
      </c>
      <c r="Z65">
        <f t="shared" si="33"/>
        <v>31200.10432264741</v>
      </c>
      <c r="AB65" s="23">
        <f t="shared" si="48"/>
        <v>0.23989098342278017</v>
      </c>
      <c r="AC65" s="23">
        <f t="shared" si="49"/>
        <v>0.1075244920524666</v>
      </c>
      <c r="AD65" s="23">
        <f t="shared" si="50"/>
        <v>2.2310357281736826</v>
      </c>
      <c r="AE65">
        <f t="shared" si="51"/>
        <v>1816.0861086653001</v>
      </c>
      <c r="AF65">
        <f t="shared" si="52"/>
        <v>1816.0861086653001</v>
      </c>
      <c r="AG65">
        <f t="shared" si="53"/>
        <v>26151.639964780323</v>
      </c>
    </row>
    <row r="66" spans="1:33" x14ac:dyDescent="0.35">
      <c r="A66" s="50">
        <v>9</v>
      </c>
      <c r="B66" s="21">
        <f t="shared" si="34"/>
        <v>15.3</v>
      </c>
      <c r="C66" s="21">
        <v>16.2</v>
      </c>
      <c r="D66" s="21">
        <f t="shared" si="35"/>
        <v>0.36</v>
      </c>
      <c r="E66" s="22">
        <f t="shared" si="36"/>
        <v>1.8723892215395166</v>
      </c>
      <c r="F66" s="79">
        <v>0.33145378694207139</v>
      </c>
      <c r="G66" s="82">
        <v>4.8845253638592628E-2</v>
      </c>
      <c r="H66" s="55">
        <f t="shared" si="37"/>
        <v>9.0253738762820355</v>
      </c>
      <c r="I66" s="55">
        <f t="shared" si="26"/>
        <v>25.039043486691213</v>
      </c>
      <c r="J66" s="55">
        <f t="shared" si="38"/>
        <v>0.23179030884183774</v>
      </c>
      <c r="K66" s="55">
        <f t="shared" si="39"/>
        <v>13.280606428671192</v>
      </c>
      <c r="L66" s="23">
        <f t="shared" si="27"/>
        <v>104.39754048852234</v>
      </c>
      <c r="M66" s="23">
        <f t="shared" si="40"/>
        <v>2.7919363473478369</v>
      </c>
      <c r="N66" s="23">
        <f t="shared" si="28"/>
        <v>11.608318573426494</v>
      </c>
      <c r="O66" s="23">
        <f t="shared" si="41"/>
        <v>9.0901552253322227E-6</v>
      </c>
      <c r="P66" s="23">
        <f t="shared" si="42"/>
        <v>0.99999421302744962</v>
      </c>
      <c r="Q66" s="23">
        <f t="shared" si="29"/>
        <v>8.2287124162655392E-2</v>
      </c>
      <c r="R66" s="23">
        <f t="shared" si="30"/>
        <v>0.49906986774608719</v>
      </c>
      <c r="S66" s="23">
        <f t="shared" si="31"/>
        <v>0.16885611206489454</v>
      </c>
      <c r="T66" s="23">
        <f t="shared" si="43"/>
        <v>2.955592555360302</v>
      </c>
      <c r="U66" s="23">
        <f t="shared" si="44"/>
        <v>26.615992792587839</v>
      </c>
      <c r="V66" s="23">
        <f t="shared" si="32"/>
        <v>425.04664340105268</v>
      </c>
      <c r="W66">
        <f t="shared" si="45"/>
        <v>2417.1707841704492</v>
      </c>
      <c r="X66">
        <f t="shared" si="46"/>
        <v>246.00792751456322</v>
      </c>
      <c r="Y66">
        <f t="shared" si="47"/>
        <v>2171.1628566558861</v>
      </c>
      <c r="Z66">
        <f t="shared" si="33"/>
        <v>35172.838277825351</v>
      </c>
      <c r="AB66" s="23">
        <f t="shared" si="48"/>
        <v>0.19015587846818066</v>
      </c>
      <c r="AC66" s="23">
        <f t="shared" si="49"/>
        <v>8.6306459613570655E-2</v>
      </c>
      <c r="AD66" s="23">
        <f t="shared" si="50"/>
        <v>2.2032635716907674</v>
      </c>
      <c r="AE66">
        <f t="shared" si="51"/>
        <v>1801.8939470054024</v>
      </c>
      <c r="AF66">
        <f t="shared" si="52"/>
        <v>1801.8939470054024</v>
      </c>
      <c r="AG66">
        <f t="shared" si="53"/>
        <v>29190.681941487517</v>
      </c>
    </row>
    <row r="67" spans="1:33" x14ac:dyDescent="0.35">
      <c r="A67" s="50">
        <v>10</v>
      </c>
      <c r="B67" s="21">
        <f t="shared" si="34"/>
        <v>17.100000000000001</v>
      </c>
      <c r="C67" s="21">
        <v>18</v>
      </c>
      <c r="D67" s="21">
        <f t="shared" si="35"/>
        <v>0.4</v>
      </c>
      <c r="E67" s="22">
        <f t="shared" si="36"/>
        <v>2.0804324683772411</v>
      </c>
      <c r="F67" s="79">
        <v>0.33210740860299898</v>
      </c>
      <c r="G67" s="82">
        <v>3.924885864301058E-2</v>
      </c>
      <c r="H67" s="55">
        <f t="shared" si="37"/>
        <v>9.0165499838595142</v>
      </c>
      <c r="I67" s="55">
        <f t="shared" si="26"/>
        <v>27.728766650240956</v>
      </c>
      <c r="J67" s="55">
        <f t="shared" si="38"/>
        <v>0.2106381003337684</v>
      </c>
      <c r="K67" s="55">
        <f t="shared" si="39"/>
        <v>12.068674153778106</v>
      </c>
      <c r="L67" s="23">
        <f t="shared" si="27"/>
        <v>115.99726720946927</v>
      </c>
      <c r="M67" s="23">
        <f t="shared" si="40"/>
        <v>2.5638067136176081</v>
      </c>
      <c r="N67" s="23">
        <f t="shared" si="28"/>
        <v>10.761228281915271</v>
      </c>
      <c r="O67" s="23">
        <f t="shared" si="41"/>
        <v>2.120596003829334E-5</v>
      </c>
      <c r="P67" s="23">
        <f t="shared" si="42"/>
        <v>0.99998649986654653</v>
      </c>
      <c r="Q67" s="23">
        <f t="shared" si="29"/>
        <v>6.800708526740494E-2</v>
      </c>
      <c r="R67" s="23">
        <f t="shared" si="30"/>
        <v>0.45405115858246858</v>
      </c>
      <c r="S67" s="23">
        <f t="shared" si="31"/>
        <v>0.15257621207840796</v>
      </c>
      <c r="T67" s="23">
        <f t="shared" si="43"/>
        <v>2.9758974377285923</v>
      </c>
      <c r="U67" s="23">
        <f t="shared" si="44"/>
        <v>29.157892131547371</v>
      </c>
      <c r="V67" s="23">
        <f t="shared" si="32"/>
        <v>510.10960413297119</v>
      </c>
      <c r="W67">
        <f t="shared" si="45"/>
        <v>2441.2298337326793</v>
      </c>
      <c r="X67">
        <f t="shared" si="46"/>
        <v>272.40922314039346</v>
      </c>
      <c r="Y67">
        <f t="shared" si="47"/>
        <v>2168.8206105922859</v>
      </c>
      <c r="Z67">
        <f t="shared" si="33"/>
        <v>39038.770990661149</v>
      </c>
      <c r="AB67" s="23">
        <f t="shared" si="48"/>
        <v>0.15352547395274371</v>
      </c>
      <c r="AC67" s="23">
        <f t="shared" si="49"/>
        <v>7.0676285743788494E-2</v>
      </c>
      <c r="AD67" s="23">
        <f t="shared" si="50"/>
        <v>2.1722346093468352</v>
      </c>
      <c r="AE67">
        <f t="shared" si="51"/>
        <v>1781.957895112037</v>
      </c>
      <c r="AF67">
        <f t="shared" si="52"/>
        <v>1781.957895112037</v>
      </c>
      <c r="AG67">
        <f t="shared" si="53"/>
        <v>32075.242112016665</v>
      </c>
    </row>
    <row r="68" spans="1:33" x14ac:dyDescent="0.35">
      <c r="A68" s="10">
        <v>11</v>
      </c>
      <c r="B68" s="21">
        <f t="shared" si="34"/>
        <v>18.899999999999999</v>
      </c>
      <c r="C68" s="21">
        <v>19.8</v>
      </c>
      <c r="D68" s="21">
        <f t="shared" si="35"/>
        <v>0.44</v>
      </c>
      <c r="E68" s="22">
        <f t="shared" si="36"/>
        <v>2.2884757152149651</v>
      </c>
      <c r="F68" s="79">
        <v>0.33258680024457693</v>
      </c>
      <c r="G68" s="82">
        <v>3.206313416224759E-2</v>
      </c>
      <c r="H68" s="55">
        <f t="shared" si="37"/>
        <v>9.0100781966982115</v>
      </c>
      <c r="I68" s="55">
        <f t="shared" si="26"/>
        <v>30.435676241570526</v>
      </c>
      <c r="J68" s="55">
        <f t="shared" si="38"/>
        <v>0.19283726693549699</v>
      </c>
      <c r="K68" s="55">
        <f t="shared" si="39"/>
        <v>11.048761528241636</v>
      </c>
      <c r="L68" s="23">
        <f t="shared" si="27"/>
        <v>127.5969939304162</v>
      </c>
      <c r="M68" s="23">
        <f t="shared" si="40"/>
        <v>2.3650817199057439</v>
      </c>
      <c r="N68" s="23">
        <f t="shared" si="28"/>
        <v>9.9616347493188027</v>
      </c>
      <c r="O68" s="23">
        <f t="shared" si="41"/>
        <v>4.7175552771152217E-5</v>
      </c>
      <c r="P68" s="23">
        <f t="shared" si="42"/>
        <v>0.99996996711032238</v>
      </c>
      <c r="Q68" s="23">
        <f t="shared" si="29"/>
        <v>5.7032491899891E-2</v>
      </c>
      <c r="R68" s="23">
        <f t="shared" si="30"/>
        <v>0.41615546742515391</v>
      </c>
      <c r="S68" s="23">
        <f t="shared" si="31"/>
        <v>0.13902821248654187</v>
      </c>
      <c r="T68" s="23">
        <f t="shared" si="43"/>
        <v>2.9933166799899578</v>
      </c>
      <c r="U68" s="23">
        <f t="shared" si="44"/>
        <v>31.741327908458985</v>
      </c>
      <c r="V68" s="23">
        <f t="shared" si="32"/>
        <v>604.5071384353904</v>
      </c>
      <c r="W68">
        <f t="shared" si="45"/>
        <v>2460.4667536614888</v>
      </c>
      <c r="X68">
        <f t="shared" si="46"/>
        <v>298.88337427550016</v>
      </c>
      <c r="Y68">
        <f t="shared" si="47"/>
        <v>2161.5833793859888</v>
      </c>
      <c r="Z68">
        <f t="shared" si="33"/>
        <v>42799.350911842579</v>
      </c>
      <c r="AB68" s="23">
        <f t="shared" si="48"/>
        <v>0.1258753040777788</v>
      </c>
      <c r="AC68" s="23">
        <f t="shared" si="49"/>
        <v>5.88611323392845E-2</v>
      </c>
      <c r="AD68" s="23">
        <f t="shared" si="50"/>
        <v>2.138513125303374</v>
      </c>
      <c r="AE68">
        <f t="shared" si="51"/>
        <v>1757.8295281123847</v>
      </c>
      <c r="AF68">
        <f t="shared" si="52"/>
        <v>1757.8295281123847</v>
      </c>
      <c r="AG68">
        <f t="shared" si="53"/>
        <v>34805.024656625217</v>
      </c>
    </row>
    <row r="69" spans="1:33" x14ac:dyDescent="0.35">
      <c r="A69" s="10">
        <v>12</v>
      </c>
      <c r="B69" s="21">
        <f t="shared" si="34"/>
        <v>20.700000000000003</v>
      </c>
      <c r="C69" s="21">
        <v>21.6</v>
      </c>
      <c r="D69" s="21">
        <f t="shared" si="35"/>
        <v>0.48000000000000004</v>
      </c>
      <c r="E69" s="22">
        <f t="shared" si="36"/>
        <v>2.4965189620526891</v>
      </c>
      <c r="F69" s="79">
        <v>0.33294370167723308</v>
      </c>
      <c r="G69" s="82">
        <v>2.6557986087290035E-2</v>
      </c>
      <c r="H69" s="55">
        <f t="shared" si="37"/>
        <v>9.0052600273573535</v>
      </c>
      <c r="I69" s="55">
        <f t="shared" si="26"/>
        <v>33.156502870506429</v>
      </c>
      <c r="J69" s="55">
        <f t="shared" si="38"/>
        <v>0.17768481881534195</v>
      </c>
      <c r="K69" s="55">
        <f t="shared" si="39"/>
        <v>10.180590201665813</v>
      </c>
      <c r="L69" s="23">
        <f t="shared" si="27"/>
        <v>139.19672065136314</v>
      </c>
      <c r="M69" s="23">
        <f t="shared" si="40"/>
        <v>2.1915769796084459</v>
      </c>
      <c r="N69" s="23">
        <f t="shared" si="28"/>
        <v>9.1937078993127059</v>
      </c>
      <c r="O69" s="23">
        <f t="shared" si="41"/>
        <v>1.0167715623017896E-4</v>
      </c>
      <c r="P69" s="23">
        <f t="shared" si="42"/>
        <v>0.99993527031183427</v>
      </c>
      <c r="Q69" s="23">
        <f t="shared" si="29"/>
        <v>4.8444487426540291E-2</v>
      </c>
      <c r="R69" s="23">
        <f t="shared" si="30"/>
        <v>0.38387372844439271</v>
      </c>
      <c r="S69" s="23">
        <f t="shared" si="31"/>
        <v>0.12760103308594978</v>
      </c>
      <c r="T69" s="23">
        <f t="shared" si="43"/>
        <v>3.0083904429349113</v>
      </c>
      <c r="U69" s="23">
        <f t="shared" si="44"/>
        <v>34.357654034613908</v>
      </c>
      <c r="V69" s="23">
        <f t="shared" si="32"/>
        <v>708.26903445733274</v>
      </c>
      <c r="W69">
        <f t="shared" si="45"/>
        <v>2476.1280722471506</v>
      </c>
      <c r="X69">
        <f t="shared" si="46"/>
        <v>325.41866333947087</v>
      </c>
      <c r="Y69">
        <f t="shared" si="47"/>
        <v>2150.70940890768</v>
      </c>
      <c r="Z69">
        <f t="shared" si="33"/>
        <v>46455.323232405892</v>
      </c>
      <c r="AB69" s="23">
        <f t="shared" si="48"/>
        <v>0.1045593799191562</v>
      </c>
      <c r="AC69" s="23">
        <f t="shared" si="49"/>
        <v>4.9731075449620243E-2</v>
      </c>
      <c r="AD69" s="23">
        <f t="shared" si="50"/>
        <v>2.1024958534242724</v>
      </c>
      <c r="AE69">
        <f t="shared" si="51"/>
        <v>1730.5097537034383</v>
      </c>
      <c r="AF69">
        <f t="shared" si="52"/>
        <v>1730.5097537034383</v>
      </c>
      <c r="AG69">
        <f t="shared" si="53"/>
        <v>37379.010679994266</v>
      </c>
    </row>
    <row r="70" spans="1:33" x14ac:dyDescent="0.35">
      <c r="A70" s="10">
        <v>13</v>
      </c>
      <c r="B70" s="21">
        <f t="shared" si="34"/>
        <v>22.5</v>
      </c>
      <c r="C70" s="21">
        <v>23.4</v>
      </c>
      <c r="D70" s="21">
        <f t="shared" si="35"/>
        <v>0.52</v>
      </c>
      <c r="E70" s="22">
        <f t="shared" si="36"/>
        <v>2.7045622088904131</v>
      </c>
      <c r="F70" s="79">
        <v>0.33321306665590478</v>
      </c>
      <c r="G70" s="82">
        <v>2.225671732629337E-2</v>
      </c>
      <c r="H70" s="55">
        <f t="shared" si="37"/>
        <v>9.001623600145285</v>
      </c>
      <c r="I70" s="55">
        <f t="shared" si="26"/>
        <v>35.888671109402253</v>
      </c>
      <c r="J70" s="55">
        <f t="shared" si="38"/>
        <v>0.16465316299866931</v>
      </c>
      <c r="K70" s="55">
        <f t="shared" si="39"/>
        <v>9.4339313233033604</v>
      </c>
      <c r="L70" s="23">
        <f t="shared" si="27"/>
        <v>150.79644737231004</v>
      </c>
      <c r="M70" s="23">
        <f t="shared" si="40"/>
        <v>2.039482019795571</v>
      </c>
      <c r="N70" s="23">
        <f t="shared" si="28"/>
        <v>8.4474024746712306</v>
      </c>
      <c r="O70" s="23">
        <f t="shared" si="41"/>
        <v>2.1445674934740983E-4</v>
      </c>
      <c r="P70" s="23">
        <f t="shared" si="42"/>
        <v>0.99986347259200126</v>
      </c>
      <c r="Q70" s="23">
        <f t="shared" si="29"/>
        <v>4.1614569845834351E-2</v>
      </c>
      <c r="R70" s="23">
        <f t="shared" si="30"/>
        <v>0.35607574606171366</v>
      </c>
      <c r="S70" s="23">
        <f t="shared" si="31"/>
        <v>0.11784804715992124</v>
      </c>
      <c r="T70" s="23">
        <f t="shared" si="43"/>
        <v>3.0214819391832139</v>
      </c>
      <c r="U70" s="23">
        <f t="shared" si="44"/>
        <v>37.000350558306017</v>
      </c>
      <c r="V70" s="23">
        <f t="shared" si="32"/>
        <v>821.41556486252182</v>
      </c>
      <c r="W70">
        <f t="shared" si="45"/>
        <v>2489.029434386699</v>
      </c>
      <c r="X70">
        <f t="shared" si="46"/>
        <v>352.00482168715143</v>
      </c>
      <c r="Y70">
        <f t="shared" si="47"/>
        <v>2137.0246126995476</v>
      </c>
      <c r="Z70">
        <f t="shared" si="33"/>
        <v>50006.37593716941</v>
      </c>
      <c r="AB70" s="23">
        <f t="shared" si="48"/>
        <v>8.7822804472145244E-2</v>
      </c>
      <c r="AC70" s="23">
        <f t="shared" si="49"/>
        <v>4.2540773563548379E-2</v>
      </c>
      <c r="AD70" s="23">
        <f t="shared" si="50"/>
        <v>2.0644383520895202</v>
      </c>
      <c r="AE70">
        <f t="shared" si="51"/>
        <v>1700.638271965526</v>
      </c>
      <c r="AF70">
        <f t="shared" si="52"/>
        <v>1700.638271965526</v>
      </c>
      <c r="AG70">
        <f t="shared" si="53"/>
        <v>39794.935563993306</v>
      </c>
    </row>
    <row r="71" spans="1:33" x14ac:dyDescent="0.35">
      <c r="A71" s="10">
        <v>14</v>
      </c>
      <c r="B71" s="21">
        <f t="shared" si="34"/>
        <v>24.299999999999997</v>
      </c>
      <c r="C71" s="21">
        <v>25.2</v>
      </c>
      <c r="D71" s="21">
        <f t="shared" si="35"/>
        <v>0.55999999999999994</v>
      </c>
      <c r="E71" s="22">
        <f t="shared" si="36"/>
        <v>2.9126054557281371</v>
      </c>
      <c r="F71" s="79">
        <v>0.33341911068344993</v>
      </c>
      <c r="G71" s="82">
        <v>1.8837814212126307E-2</v>
      </c>
      <c r="H71" s="55">
        <f t="shared" si="37"/>
        <v>8.998842005773426</v>
      </c>
      <c r="I71" s="55">
        <f t="shared" si="26"/>
        <v>38.630134072010236</v>
      </c>
      <c r="J71" s="55">
        <f t="shared" si="38"/>
        <v>0.15334101730521865</v>
      </c>
      <c r="K71" s="55">
        <f t="shared" si="39"/>
        <v>8.7857931178315489</v>
      </c>
      <c r="L71" s="23">
        <f t="shared" si="27"/>
        <v>162.39617409325697</v>
      </c>
      <c r="M71" s="23">
        <f t="shared" si="40"/>
        <v>1.9055104310628246</v>
      </c>
      <c r="N71" s="23">
        <f t="shared" si="28"/>
        <v>7.7161536289558637</v>
      </c>
      <c r="O71" s="23">
        <f t="shared" si="41"/>
        <v>4.455711440545217E-4</v>
      </c>
      <c r="P71" s="23">
        <f t="shared" si="42"/>
        <v>0.99971634059031245</v>
      </c>
      <c r="Q71" s="23">
        <f t="shared" si="29"/>
        <v>3.6103738597240101E-2</v>
      </c>
      <c r="R71" s="23">
        <f t="shared" si="30"/>
        <v>0.33189870482496442</v>
      </c>
      <c r="S71" s="23">
        <f t="shared" si="31"/>
        <v>0.10943658978890086</v>
      </c>
      <c r="T71" s="23">
        <f t="shared" si="43"/>
        <v>3.0327946573004949</v>
      </c>
      <c r="U71" s="23">
        <f t="shared" si="44"/>
        <v>39.664422545479702</v>
      </c>
      <c r="V71" s="23">
        <f t="shared" si="32"/>
        <v>943.95984951981518</v>
      </c>
      <c r="W71">
        <f t="shared" si="45"/>
        <v>2499.6785103056004</v>
      </c>
      <c r="X71">
        <f t="shared" si="46"/>
        <v>378.63297675642582</v>
      </c>
      <c r="Y71">
        <f t="shared" si="47"/>
        <v>2121.0455335491747</v>
      </c>
      <c r="Z71">
        <f t="shared" si="33"/>
        <v>53450.347445439198</v>
      </c>
      <c r="AB71" s="23">
        <f t="shared" si="48"/>
        <v>7.4467106672429853E-2</v>
      </c>
      <c r="AC71" s="23">
        <f t="shared" si="49"/>
        <v>3.6783854117298086E-2</v>
      </c>
      <c r="AD71" s="23">
        <f t="shared" si="50"/>
        <v>2.024450902696755</v>
      </c>
      <c r="AE71">
        <f t="shared" si="51"/>
        <v>1668.585245116531</v>
      </c>
      <c r="AF71">
        <f t="shared" si="52"/>
        <v>1668.585245116531</v>
      </c>
      <c r="AG71">
        <f t="shared" si="53"/>
        <v>42048.348176936583</v>
      </c>
    </row>
    <row r="72" spans="1:33" x14ac:dyDescent="0.35">
      <c r="A72" s="10">
        <v>15</v>
      </c>
      <c r="B72" s="21">
        <f t="shared" si="34"/>
        <v>26.1</v>
      </c>
      <c r="C72" s="21">
        <v>27</v>
      </c>
      <c r="D72" s="21">
        <f t="shared" si="35"/>
        <v>0.6</v>
      </c>
      <c r="E72" s="22">
        <f t="shared" si="36"/>
        <v>3.1206487025658611</v>
      </c>
      <c r="F72" s="79">
        <v>0.33357910707728922</v>
      </c>
      <c r="G72" s="82">
        <v>1.6078029078027734E-2</v>
      </c>
      <c r="H72" s="55">
        <f t="shared" si="37"/>
        <v>8.9966820544565955</v>
      </c>
      <c r="I72" s="55">
        <f t="shared" si="26"/>
        <v>41.379234710081725</v>
      </c>
      <c r="J72" s="55">
        <f t="shared" si="38"/>
        <v>0.14343915309457983</v>
      </c>
      <c r="K72" s="55">
        <f t="shared" si="39"/>
        <v>8.2184580892503067</v>
      </c>
      <c r="L72" s="23">
        <f t="shared" si="27"/>
        <v>173.99590081420391</v>
      </c>
      <c r="M72" s="23">
        <f t="shared" si="40"/>
        <v>1.7868977075456098</v>
      </c>
      <c r="N72" s="23">
        <f t="shared" si="28"/>
        <v>6.9955612486648207</v>
      </c>
      <c r="O72" s="23">
        <f t="shared" si="41"/>
        <v>9.1593857933611189E-4</v>
      </c>
      <c r="P72" s="23">
        <f t="shared" si="42"/>
        <v>0.99941689530858835</v>
      </c>
      <c r="Q72" s="23">
        <f t="shared" si="29"/>
        <v>3.1599289217273313E-2</v>
      </c>
      <c r="R72" s="23">
        <f t="shared" si="30"/>
        <v>0.3106675139170289</v>
      </c>
      <c r="S72" s="23">
        <f t="shared" si="31"/>
        <v>0.10211462455992909</v>
      </c>
      <c r="T72" s="23">
        <f t="shared" si="43"/>
        <v>3.0423410481689053</v>
      </c>
      <c r="U72" s="23">
        <f t="shared" si="44"/>
        <v>42.34597210102767</v>
      </c>
      <c r="V72" s="23">
        <f t="shared" si="32"/>
        <v>1075.9088119086082</v>
      </c>
      <c r="W72">
        <f t="shared" si="45"/>
        <v>2508.3130902447788</v>
      </c>
      <c r="X72">
        <f t="shared" si="46"/>
        <v>405.29532610088199</v>
      </c>
      <c r="Y72">
        <f t="shared" si="47"/>
        <v>2103.0177641438968</v>
      </c>
      <c r="Z72">
        <f t="shared" si="33"/>
        <v>56781.479631885217</v>
      </c>
      <c r="AB72" s="23">
        <f t="shared" si="48"/>
        <v>6.3651645733966505E-2</v>
      </c>
      <c r="AC72" s="23">
        <f t="shared" si="49"/>
        <v>3.2107343508153641E-2</v>
      </c>
      <c r="AD72" s="23">
        <f t="shared" si="50"/>
        <v>1.982463784890899</v>
      </c>
      <c r="AE72">
        <f t="shared" si="51"/>
        <v>1634.4781153220595</v>
      </c>
      <c r="AF72">
        <f t="shared" si="52"/>
        <v>1634.4781153220595</v>
      </c>
      <c r="AG72">
        <f t="shared" si="53"/>
        <v>44130.909113695605</v>
      </c>
    </row>
    <row r="73" spans="1:33" x14ac:dyDescent="0.35">
      <c r="A73" s="10">
        <v>16</v>
      </c>
      <c r="B73" s="21">
        <f t="shared" si="34"/>
        <v>27.9</v>
      </c>
      <c r="C73" s="21">
        <v>28.8</v>
      </c>
      <c r="D73" s="21">
        <f t="shared" si="35"/>
        <v>0.64</v>
      </c>
      <c r="E73" s="22">
        <f t="shared" si="36"/>
        <v>3.3286919494035851</v>
      </c>
      <c r="F73" s="79">
        <v>0.33370586374682953</v>
      </c>
      <c r="G73" s="82">
        <v>1.3817996337856461E-2</v>
      </c>
      <c r="H73" s="55">
        <f t="shared" si="37"/>
        <v>8.9949708394178014</v>
      </c>
      <c r="I73" s="55">
        <f t="shared" si="26"/>
        <v>44.134588917989646</v>
      </c>
      <c r="J73" s="55">
        <f t="shared" si="38"/>
        <v>0.13470628270789109</v>
      </c>
      <c r="K73" s="55">
        <f t="shared" si="39"/>
        <v>7.7181014730582618</v>
      </c>
      <c r="L73" s="23">
        <f t="shared" si="27"/>
        <v>185.59562753515084</v>
      </c>
      <c r="M73" s="23">
        <f t="shared" si="40"/>
        <v>1.6813442038801714</v>
      </c>
      <c r="N73" s="23">
        <f t="shared" si="28"/>
        <v>6.2826109227970974</v>
      </c>
      <c r="O73" s="23">
        <f t="shared" si="41"/>
        <v>1.8685156697582058E-3</v>
      </c>
      <c r="P73" s="23">
        <f t="shared" si="42"/>
        <v>0.99881046528747208</v>
      </c>
      <c r="Q73" s="23">
        <f t="shared" si="29"/>
        <v>2.7874400113170494E-2</v>
      </c>
      <c r="R73" s="23">
        <f t="shared" si="30"/>
        <v>0.29183388571832786</v>
      </c>
      <c r="S73" s="23">
        <f t="shared" si="31"/>
        <v>9.5688243910861087E-2</v>
      </c>
      <c r="T73" s="23">
        <f t="shared" si="43"/>
        <v>3.0498405424828081</v>
      </c>
      <c r="U73" s="23">
        <f t="shared" si="44"/>
        <v>45.041885388623676</v>
      </c>
      <c r="V73" s="23">
        <f t="shared" si="32"/>
        <v>1217.2628636171464</v>
      </c>
      <c r="W73">
        <f t="shared" si="45"/>
        <v>2514.8553638522403</v>
      </c>
      <c r="X73">
        <f t="shared" si="46"/>
        <v>431.98466089229566</v>
      </c>
      <c r="Y73">
        <f t="shared" si="47"/>
        <v>2082.8707029599445</v>
      </c>
      <c r="Z73">
        <f t="shared" si="33"/>
        <v>59986.676245246403</v>
      </c>
      <c r="AB73" s="23">
        <f t="shared" si="48"/>
        <v>5.4771266485136985E-2</v>
      </c>
      <c r="AC73" s="23">
        <f t="shared" si="49"/>
        <v>2.8259568471854228E-2</v>
      </c>
      <c r="AD73" s="23">
        <f t="shared" si="50"/>
        <v>1.9381494285621417</v>
      </c>
      <c r="AE73">
        <f t="shared" si="51"/>
        <v>1598.1705989122649</v>
      </c>
      <c r="AF73">
        <f t="shared" si="52"/>
        <v>1598.1705989122649</v>
      </c>
      <c r="AG73">
        <f t="shared" si="53"/>
        <v>46027.313248673228</v>
      </c>
    </row>
    <row r="74" spans="1:33" x14ac:dyDescent="0.35">
      <c r="A74" s="50">
        <v>17</v>
      </c>
      <c r="B74" s="21">
        <f t="shared" si="34"/>
        <v>29.700000000000003</v>
      </c>
      <c r="C74" s="21">
        <v>30.6</v>
      </c>
      <c r="D74" s="21">
        <f t="shared" si="35"/>
        <v>0.68</v>
      </c>
      <c r="E74" s="22">
        <f t="shared" si="36"/>
        <v>3.5367351962413096</v>
      </c>
      <c r="F74" s="79">
        <v>0.33380944750911146</v>
      </c>
      <c r="G74" s="82">
        <v>1.1940578098201381E-2</v>
      </c>
      <c r="H74" s="55">
        <f t="shared" si="37"/>
        <v>8.9935724586269945</v>
      </c>
      <c r="I74" s="55">
        <f t="shared" si="26"/>
        <v>46.894979123921111</v>
      </c>
      <c r="J74" s="55">
        <f t="shared" si="38"/>
        <v>0.12695190998418518</v>
      </c>
      <c r="K74" s="55">
        <f t="shared" si="39"/>
        <v>7.2738086432185485</v>
      </c>
      <c r="L74" s="23">
        <f t="shared" si="27"/>
        <v>197.19535425609777</v>
      </c>
      <c r="M74" s="23">
        <f t="shared" si="40"/>
        <v>1.5869447156704022</v>
      </c>
      <c r="N74" s="23">
        <f t="shared" si="28"/>
        <v>5.5751978599347645</v>
      </c>
      <c r="O74" s="23">
        <f t="shared" si="41"/>
        <v>3.7907254752477621E-3</v>
      </c>
      <c r="P74" s="23">
        <f t="shared" si="42"/>
        <v>0.99758674343122777</v>
      </c>
      <c r="Q74" s="23">
        <f t="shared" si="29"/>
        <v>2.4761774109069302E-2</v>
      </c>
      <c r="R74" s="23">
        <f t="shared" si="30"/>
        <v>0.27492300990621071</v>
      </c>
      <c r="S74" s="23">
        <f t="shared" si="31"/>
        <v>9.0006182069119603E-2</v>
      </c>
      <c r="T74" s="23">
        <f t="shared" si="43"/>
        <v>3.054490298178469</v>
      </c>
      <c r="U74" s="23">
        <f t="shared" si="44"/>
        <v>47.749590706115704</v>
      </c>
      <c r="V74" s="23">
        <f t="shared" si="32"/>
        <v>1368.0140475609426</v>
      </c>
      <c r="W74">
        <f t="shared" si="45"/>
        <v>2518.746147037737</v>
      </c>
      <c r="X74">
        <f t="shared" si="46"/>
        <v>458.6937268685333</v>
      </c>
      <c r="Y74">
        <f t="shared" si="47"/>
        <v>2060.0524201692037</v>
      </c>
      <c r="Z74">
        <f t="shared" si="33"/>
        <v>63037.604057177639</v>
      </c>
      <c r="AB74" s="23">
        <f t="shared" si="48"/>
        <v>4.7377941525926351E-2</v>
      </c>
      <c r="AC74" s="23">
        <f t="shared" si="49"/>
        <v>2.5057444006668664E-2</v>
      </c>
      <c r="AD74" s="23">
        <f t="shared" si="50"/>
        <v>1.8907731176937848</v>
      </c>
      <c r="AE74">
        <f t="shared" si="51"/>
        <v>1559.1398368342409</v>
      </c>
      <c r="AF74">
        <f t="shared" si="52"/>
        <v>1559.1398368342409</v>
      </c>
      <c r="AG74">
        <f t="shared" si="53"/>
        <v>47709.679007127772</v>
      </c>
    </row>
    <row r="75" spans="1:33" x14ac:dyDescent="0.35">
      <c r="A75" s="50">
        <v>18</v>
      </c>
      <c r="B75" s="21">
        <f t="shared" si="34"/>
        <v>31.5</v>
      </c>
      <c r="C75" s="21">
        <v>32.4</v>
      </c>
      <c r="D75" s="21">
        <f t="shared" si="35"/>
        <v>0.72</v>
      </c>
      <c r="E75" s="22">
        <f t="shared" si="36"/>
        <v>3.7447784430790332</v>
      </c>
      <c r="F75" s="79">
        <v>0.33389853908659506</v>
      </c>
      <c r="G75" s="82">
        <v>1.0356504705548946E-2</v>
      </c>
      <c r="H75" s="55">
        <f t="shared" si="37"/>
        <v>8.9923697223309667</v>
      </c>
      <c r="I75" s="55">
        <f t="shared" si="26"/>
        <v>49.659241519729008</v>
      </c>
      <c r="J75" s="55">
        <f t="shared" si="38"/>
        <v>0.12002399774053905</v>
      </c>
      <c r="K75" s="55">
        <f t="shared" si="39"/>
        <v>6.8768685108206169</v>
      </c>
      <c r="L75" s="23">
        <f t="shared" si="27"/>
        <v>208.79508097704468</v>
      </c>
      <c r="M75" s="23">
        <f t="shared" si="40"/>
        <v>1.502121350121068</v>
      </c>
      <c r="N75" s="23">
        <f t="shared" si="28"/>
        <v>4.8718278161623036</v>
      </c>
      <c r="O75" s="23">
        <f t="shared" si="41"/>
        <v>7.6593525970157115E-3</v>
      </c>
      <c r="P75" s="23">
        <f t="shared" si="42"/>
        <v>0.99512385701536987</v>
      </c>
      <c r="Q75" s="23">
        <f t="shared" si="29"/>
        <v>2.2136114629225889E-2</v>
      </c>
      <c r="R75" s="23">
        <f t="shared" si="30"/>
        <v>0.2594757295448098</v>
      </c>
      <c r="S75" s="23">
        <f t="shared" si="31"/>
        <v>8.4948970234695692E-2</v>
      </c>
      <c r="T75" s="23">
        <f t="shared" si="43"/>
        <v>3.0544894049678799</v>
      </c>
      <c r="U75" s="23">
        <f t="shared" si="44"/>
        <v>50.46685032313659</v>
      </c>
      <c r="V75" s="23">
        <f t="shared" si="32"/>
        <v>1528.141788922723</v>
      </c>
      <c r="W75">
        <f t="shared" si="45"/>
        <v>2518.5664403423102</v>
      </c>
      <c r="X75">
        <f t="shared" si="46"/>
        <v>485.41429743425039</v>
      </c>
      <c r="Y75">
        <f t="shared" si="47"/>
        <v>2033.1521429080599</v>
      </c>
      <c r="Z75">
        <f t="shared" si="33"/>
        <v>65874.129430221132</v>
      </c>
      <c r="AB75" s="23">
        <f t="shared" si="48"/>
        <v>4.112799021427959E-2</v>
      </c>
      <c r="AC75" s="23">
        <f t="shared" si="49"/>
        <v>2.2365367404546036E-2</v>
      </c>
      <c r="AD75" s="23">
        <f t="shared" si="50"/>
        <v>1.838914133193261</v>
      </c>
      <c r="AE75">
        <f t="shared" si="51"/>
        <v>1516.2689433458418</v>
      </c>
      <c r="AF75">
        <f t="shared" si="52"/>
        <v>1516.2689433458418</v>
      </c>
      <c r="AG75">
        <f t="shared" si="53"/>
        <v>49127.113764405272</v>
      </c>
    </row>
    <row r="76" spans="1:33" x14ac:dyDescent="0.35">
      <c r="A76" s="50">
        <v>19</v>
      </c>
      <c r="B76" s="21">
        <f t="shared" si="34"/>
        <v>33.299999999999997</v>
      </c>
      <c r="C76" s="21">
        <v>34.200000000000003</v>
      </c>
      <c r="D76" s="21">
        <f t="shared" si="35"/>
        <v>0.76</v>
      </c>
      <c r="E76" s="22">
        <f t="shared" si="36"/>
        <v>3.9528216899167576</v>
      </c>
      <c r="F76" s="79">
        <v>0.33398175577987033</v>
      </c>
      <c r="G76" s="82">
        <v>8.9939982366975171E-3</v>
      </c>
      <c r="H76" s="55">
        <f t="shared" si="37"/>
        <v>8.9912462969717506</v>
      </c>
      <c r="I76" s="55">
        <f t="shared" si="26"/>
        <v>52.426118261376608</v>
      </c>
      <c r="J76" s="55">
        <f t="shared" si="38"/>
        <v>0.11380000733512206</v>
      </c>
      <c r="K76" s="55">
        <f t="shared" si="39"/>
        <v>6.520260128860305</v>
      </c>
      <c r="L76" s="23">
        <f t="shared" si="27"/>
        <v>220.39480769799164</v>
      </c>
      <c r="M76" s="23">
        <f t="shared" si="40"/>
        <v>1.4255655786422683</v>
      </c>
      <c r="N76" s="23">
        <f t="shared" si="28"/>
        <v>4.1714246930046128</v>
      </c>
      <c r="O76" s="23">
        <f t="shared" si="41"/>
        <v>1.5430261071674485E-2</v>
      </c>
      <c r="P76" s="23">
        <f t="shared" si="42"/>
        <v>0.9901764008610503</v>
      </c>
      <c r="Q76" s="23">
        <f t="shared" si="29"/>
        <v>1.9902263907243426E-2</v>
      </c>
      <c r="R76" s="23">
        <f t="shared" si="30"/>
        <v>0.24496906816920044</v>
      </c>
      <c r="S76" s="23">
        <f t="shared" si="31"/>
        <v>8.0421236108401059E-2</v>
      </c>
      <c r="T76" s="23">
        <f t="shared" si="43"/>
        <v>3.0460743955614253</v>
      </c>
      <c r="U76" s="23">
        <f t="shared" si="44"/>
        <v>53.191544308552032</v>
      </c>
      <c r="V76" s="23">
        <f t="shared" si="32"/>
        <v>1697.6042315571924</v>
      </c>
      <c r="W76">
        <f t="shared" si="45"/>
        <v>2511.2497771026819</v>
      </c>
      <c r="X76">
        <f t="shared" si="46"/>
        <v>512.13565139142668</v>
      </c>
      <c r="Y76">
        <f t="shared" si="47"/>
        <v>1999.1141257112554</v>
      </c>
      <c r="Z76">
        <f t="shared" si="33"/>
        <v>68369.703099324935</v>
      </c>
      <c r="AB76" s="23">
        <f t="shared" si="48"/>
        <v>3.5743291742355625E-2</v>
      </c>
      <c r="AC76" s="23">
        <f t="shared" si="49"/>
        <v>2.0081264833731464E-2</v>
      </c>
      <c r="AD76" s="23">
        <f t="shared" si="50"/>
        <v>1.7799322920295291</v>
      </c>
      <c r="AE76">
        <f t="shared" si="51"/>
        <v>1467.4147742846501</v>
      </c>
      <c r="AF76">
        <f t="shared" si="52"/>
        <v>1467.4147742846501</v>
      </c>
      <c r="AG76">
        <f t="shared" si="53"/>
        <v>50185.585280535037</v>
      </c>
    </row>
    <row r="77" spans="1:33" x14ac:dyDescent="0.35">
      <c r="A77" s="50">
        <v>20</v>
      </c>
      <c r="B77" s="21">
        <f t="shared" si="34"/>
        <v>35.1</v>
      </c>
      <c r="C77" s="21">
        <v>36</v>
      </c>
      <c r="D77" s="21">
        <f t="shared" si="35"/>
        <v>0.8</v>
      </c>
      <c r="E77" s="22">
        <f t="shared" si="36"/>
        <v>4.1608649367544821</v>
      </c>
      <c r="F77" s="79">
        <v>0.33406941488217351</v>
      </c>
      <c r="G77" s="82">
        <v>7.7898327122745397E-3</v>
      </c>
      <c r="H77" s="55">
        <f t="shared" si="37"/>
        <v>8.9900628990906579</v>
      </c>
      <c r="I77" s="55">
        <f t="shared" si="26"/>
        <v>55.19401349516658</v>
      </c>
      <c r="J77" s="55">
        <f t="shared" si="38"/>
        <v>0.10818034398039533</v>
      </c>
      <c r="K77" s="55">
        <f t="shared" si="39"/>
        <v>6.1982771363501339</v>
      </c>
      <c r="L77" s="23">
        <f t="shared" si="27"/>
        <v>231.99453441893854</v>
      </c>
      <c r="M77" s="23">
        <f t="shared" si="40"/>
        <v>1.3561910915745738</v>
      </c>
      <c r="N77" s="23">
        <f t="shared" si="28"/>
        <v>3.4732043063602767</v>
      </c>
      <c r="O77" s="23">
        <f t="shared" si="41"/>
        <v>3.1017481739598993E-2</v>
      </c>
      <c r="P77" s="23">
        <f t="shared" si="42"/>
        <v>0.98025049019005539</v>
      </c>
      <c r="Q77" s="23">
        <f t="shared" si="29"/>
        <v>1.7987043000107228E-2</v>
      </c>
      <c r="R77" s="23">
        <f t="shared" si="30"/>
        <v>0.23068591097711713</v>
      </c>
      <c r="S77" s="23">
        <f t="shared" si="31"/>
        <v>7.6346199358152025E-2</v>
      </c>
      <c r="T77" s="23">
        <f t="shared" si="43"/>
        <v>3.0215768815803554</v>
      </c>
      <c r="U77" s="23">
        <f t="shared" si="44"/>
        <v>55.92137656240444</v>
      </c>
      <c r="V77" s="23">
        <f t="shared" si="32"/>
        <v>1876.3202139805419</v>
      </c>
      <c r="W77">
        <f t="shared" si="45"/>
        <v>2490.4835944491233</v>
      </c>
      <c r="X77">
        <f t="shared" si="46"/>
        <v>538.84170852927889</v>
      </c>
      <c r="Y77">
        <f t="shared" si="47"/>
        <v>1951.6418859198443</v>
      </c>
      <c r="Z77">
        <f t="shared" si="33"/>
        <v>70259.1078931144</v>
      </c>
      <c r="AB77" s="23">
        <f t="shared" si="48"/>
        <v>3.0977179976351039E-2</v>
      </c>
      <c r="AC77" s="23">
        <f t="shared" si="49"/>
        <v>1.8127159056066551E-2</v>
      </c>
      <c r="AD77" s="23">
        <f t="shared" si="50"/>
        <v>1.708882229175565</v>
      </c>
      <c r="AE77">
        <f t="shared" si="51"/>
        <v>1408.5172489079391</v>
      </c>
      <c r="AF77">
        <f t="shared" si="52"/>
        <v>1408.5172489079391</v>
      </c>
      <c r="AG77">
        <f t="shared" si="53"/>
        <v>50706.62096068581</v>
      </c>
    </row>
    <row r="78" spans="1:33" x14ac:dyDescent="0.35">
      <c r="A78" s="10">
        <v>21</v>
      </c>
      <c r="B78" s="21">
        <f t="shared" si="34"/>
        <v>36.9</v>
      </c>
      <c r="C78" s="21">
        <v>37.799999999999997</v>
      </c>
      <c r="D78" s="21">
        <f t="shared" si="35"/>
        <v>0.84</v>
      </c>
      <c r="E78" s="22">
        <f t="shared" si="36"/>
        <v>4.3689081835922048</v>
      </c>
      <c r="F78" s="79">
        <v>0.33417680804488348</v>
      </c>
      <c r="G78" s="82">
        <v>6.678523130733964E-3</v>
      </c>
      <c r="H78" s="55">
        <f t="shared" si="37"/>
        <v>8.9886130913940736</v>
      </c>
      <c r="I78" s="55">
        <f t="shared" si="26"/>
        <v>57.960491000158143</v>
      </c>
      <c r="J78" s="55">
        <f t="shared" si="38"/>
        <v>0.10308359339045746</v>
      </c>
      <c r="K78" s="55">
        <f t="shared" si="39"/>
        <v>5.9062548383158813</v>
      </c>
      <c r="L78" s="23">
        <f t="shared" si="27"/>
        <v>243.59426113988545</v>
      </c>
      <c r="M78" s="23">
        <f t="shared" si="40"/>
        <v>1.293098313262685</v>
      </c>
      <c r="N78" s="23">
        <f t="shared" si="28"/>
        <v>2.776590484861305</v>
      </c>
      <c r="O78" s="23">
        <f t="shared" si="41"/>
        <v>6.2250389610026179E-2</v>
      </c>
      <c r="P78" s="23">
        <f t="shared" si="42"/>
        <v>0.96034453140322418</v>
      </c>
      <c r="Q78" s="23">
        <f t="shared" si="29"/>
        <v>1.6333570512662581E-2</v>
      </c>
      <c r="R78" s="23">
        <f t="shared" si="30"/>
        <v>0.21547857580193178</v>
      </c>
      <c r="S78" s="23">
        <f t="shared" si="31"/>
        <v>7.266180519128275E-2</v>
      </c>
      <c r="T78" s="23">
        <f t="shared" si="43"/>
        <v>2.9654998968809378</v>
      </c>
      <c r="U78" s="23">
        <f t="shared" si="44"/>
        <v>58.653334792543504</v>
      </c>
      <c r="V78" s="23">
        <f t="shared" si="32"/>
        <v>2064.1282093717164</v>
      </c>
      <c r="W78">
        <f t="shared" si="45"/>
        <v>2443.4727888409434</v>
      </c>
      <c r="X78">
        <f t="shared" si="46"/>
        <v>565.5047584782169</v>
      </c>
      <c r="Y78">
        <f t="shared" si="47"/>
        <v>1877.9680303627265</v>
      </c>
      <c r="Z78">
        <f t="shared" si="33"/>
        <v>70987.19154771106</v>
      </c>
      <c r="AB78" s="23">
        <f t="shared" si="48"/>
        <v>2.6572283155916677E-2</v>
      </c>
      <c r="AC78" s="23">
        <f t="shared" si="49"/>
        <v>1.6442654641138872E-2</v>
      </c>
      <c r="AD78" s="23">
        <f t="shared" si="50"/>
        <v>1.6160579745702299</v>
      </c>
      <c r="AE78">
        <f t="shared" si="51"/>
        <v>1331.577751934856</v>
      </c>
      <c r="AF78">
        <f t="shared" si="52"/>
        <v>1331.577751934856</v>
      </c>
      <c r="AG78">
        <f t="shared" si="53"/>
        <v>50333.639023137555</v>
      </c>
    </row>
    <row r="79" spans="1:33" x14ac:dyDescent="0.35">
      <c r="A79" s="10">
        <v>22</v>
      </c>
      <c r="B79" s="21">
        <f t="shared" si="34"/>
        <v>38.700000000000003</v>
      </c>
      <c r="C79" s="21">
        <v>39.6</v>
      </c>
      <c r="D79" s="21">
        <f t="shared" si="35"/>
        <v>0.88</v>
      </c>
      <c r="E79" s="22">
        <f t="shared" si="36"/>
        <v>4.5769514304299301</v>
      </c>
      <c r="F79" s="79">
        <v>0.33433240933753477</v>
      </c>
      <c r="G79" s="82">
        <v>5.5713345417732832E-3</v>
      </c>
      <c r="H79" s="55">
        <f t="shared" si="37"/>
        <v>8.9865124739432805</v>
      </c>
      <c r="I79" s="55">
        <f t="shared" si="26"/>
        <v>60.720974937195251</v>
      </c>
      <c r="J79" s="55">
        <f t="shared" si="38"/>
        <v>9.8443297352557468E-2</v>
      </c>
      <c r="K79" s="55">
        <f t="shared" si="39"/>
        <v>5.6403854596529337</v>
      </c>
      <c r="L79" s="23">
        <f t="shared" si="27"/>
        <v>255.19398786083241</v>
      </c>
      <c r="M79" s="23">
        <f t="shared" si="40"/>
        <v>1.2355547267855744</v>
      </c>
      <c r="N79" s="23">
        <f t="shared" si="28"/>
        <v>2.0811595283137949</v>
      </c>
      <c r="O79" s="23">
        <f t="shared" si="41"/>
        <v>0.12478543603254263</v>
      </c>
      <c r="P79" s="23">
        <f t="shared" si="42"/>
        <v>0.92035149826456575</v>
      </c>
      <c r="Q79" s="23">
        <f t="shared" si="29"/>
        <v>1.4897321380945483E-2</v>
      </c>
      <c r="R79" s="23">
        <f t="shared" si="30"/>
        <v>0.19730863030937668</v>
      </c>
      <c r="S79" s="23">
        <f t="shared" si="31"/>
        <v>6.9318367066734263E-2</v>
      </c>
      <c r="T79" s="23">
        <f t="shared" si="43"/>
        <v>2.8464119779310941</v>
      </c>
      <c r="U79" s="23">
        <f t="shared" si="44"/>
        <v>61.382360689108658</v>
      </c>
      <c r="V79" s="23">
        <f t="shared" si="32"/>
        <v>2260.6765222606991</v>
      </c>
      <c r="W79">
        <f t="shared" si="45"/>
        <v>2344.2497848117373</v>
      </c>
      <c r="X79">
        <f t="shared" si="46"/>
        <v>592.06885245539002</v>
      </c>
      <c r="Y79">
        <f t="shared" si="47"/>
        <v>1752.1809323563473</v>
      </c>
      <c r="Z79">
        <f t="shared" si="33"/>
        <v>69386.364921311353</v>
      </c>
      <c r="AB79" s="23">
        <f t="shared" si="48"/>
        <v>2.2177440817546707E-2</v>
      </c>
      <c r="AC79" s="23">
        <f t="shared" si="49"/>
        <v>1.4980319342135045E-2</v>
      </c>
      <c r="AD79" s="23">
        <f t="shared" si="50"/>
        <v>1.4804384546842313</v>
      </c>
      <c r="AE79">
        <f t="shared" si="51"/>
        <v>1219.2604428762506</v>
      </c>
      <c r="AF79">
        <f t="shared" si="52"/>
        <v>1219.2604428762506</v>
      </c>
      <c r="AG79">
        <f t="shared" si="53"/>
        <v>48282.71353789953</v>
      </c>
    </row>
    <row r="80" spans="1:33" x14ac:dyDescent="0.35">
      <c r="A80" s="10">
        <v>23</v>
      </c>
      <c r="B80" s="21">
        <f t="shared" si="34"/>
        <v>40.5</v>
      </c>
      <c r="C80" s="21">
        <v>41.4</v>
      </c>
      <c r="D80" s="21">
        <f t="shared" si="35"/>
        <v>0.91999999999999993</v>
      </c>
      <c r="E80" s="22">
        <f t="shared" si="36"/>
        <v>4.7849946772676537</v>
      </c>
      <c r="F80" s="79">
        <v>0.33460622158182624</v>
      </c>
      <c r="G80" s="82">
        <v>4.2902676827929762E-3</v>
      </c>
      <c r="H80" s="55">
        <f t="shared" si="37"/>
        <v>8.9828160086453472</v>
      </c>
      <c r="I80" s="55">
        <f t="shared" si="26"/>
        <v>63.464251697087541</v>
      </c>
      <c r="J80" s="55">
        <f t="shared" si="38"/>
        <v>9.4206919813868223E-2</v>
      </c>
      <c r="K80" s="55">
        <f t="shared" si="39"/>
        <v>5.3976589062620199</v>
      </c>
      <c r="L80" s="23">
        <f t="shared" si="27"/>
        <v>266.79371458177934</v>
      </c>
      <c r="M80" s="23">
        <f t="shared" si="40"/>
        <v>1.1830142831723116</v>
      </c>
      <c r="N80" s="23">
        <f t="shared" si="28"/>
        <v>1.3866063807078741</v>
      </c>
      <c r="O80" s="23">
        <f t="shared" si="41"/>
        <v>0.24992200727126643</v>
      </c>
      <c r="P80" s="23">
        <f t="shared" si="42"/>
        <v>0.83919003302537332</v>
      </c>
      <c r="Q80" s="23">
        <f t="shared" si="29"/>
        <v>1.3643664559071639E-2</v>
      </c>
      <c r="R80" s="23">
        <f t="shared" si="30"/>
        <v>0.17223349346055594</v>
      </c>
      <c r="S80" s="23">
        <f t="shared" si="31"/>
        <v>6.627880400080885E-2</v>
      </c>
      <c r="T80" s="23">
        <f t="shared" si="43"/>
        <v>2.598621023071781</v>
      </c>
      <c r="U80" s="23">
        <f t="shared" si="44"/>
        <v>64.096819163796681</v>
      </c>
      <c r="V80" s="23">
        <f t="shared" si="32"/>
        <v>2465.0413361498722</v>
      </c>
      <c r="W80">
        <f t="shared" si="45"/>
        <v>2138.546122156094</v>
      </c>
      <c r="X80">
        <f t="shared" si="46"/>
        <v>618.39186961780354</v>
      </c>
      <c r="Y80">
        <f t="shared" si="47"/>
        <v>1520.1542525382906</v>
      </c>
      <c r="Z80">
        <f t="shared" si="33"/>
        <v>62934.386055085226</v>
      </c>
      <c r="AB80" s="23">
        <f t="shared" si="48"/>
        <v>1.7084975266099457E-2</v>
      </c>
      <c r="AC80" s="23">
        <f t="shared" si="49"/>
        <v>1.3702199532204293E-2</v>
      </c>
      <c r="AD80" s="23">
        <f t="shared" si="50"/>
        <v>1.2468783005199</v>
      </c>
      <c r="AE80">
        <f t="shared" si="51"/>
        <v>1026.1237520603852</v>
      </c>
      <c r="AF80">
        <f t="shared" si="52"/>
        <v>1026.1237520603852</v>
      </c>
      <c r="AG80">
        <f t="shared" si="53"/>
        <v>42481.523335299942</v>
      </c>
    </row>
    <row r="81" spans="1:33" x14ac:dyDescent="0.35">
      <c r="A81" s="10">
        <v>24</v>
      </c>
      <c r="B81" s="21">
        <f t="shared" si="34"/>
        <v>42.3</v>
      </c>
      <c r="C81" s="21">
        <v>43.2</v>
      </c>
      <c r="D81" s="21">
        <f t="shared" si="35"/>
        <v>0.96000000000000008</v>
      </c>
      <c r="E81" s="22">
        <f t="shared" si="36"/>
        <v>4.9930379241053782</v>
      </c>
      <c r="F81" s="79">
        <v>0.33527310531036886</v>
      </c>
      <c r="G81" s="82">
        <v>2.1963825275742631E-3</v>
      </c>
      <c r="H81" s="55">
        <f t="shared" si="37"/>
        <v>8.9738130783100214</v>
      </c>
      <c r="I81" s="55">
        <f t="shared" si="26"/>
        <v>66.14668508399599</v>
      </c>
      <c r="J81" s="55">
        <f t="shared" si="38"/>
        <v>9.034421349945071E-2</v>
      </c>
      <c r="K81" s="55">
        <f t="shared" si="39"/>
        <v>5.1763421369473637</v>
      </c>
      <c r="L81" s="23">
        <f t="shared" si="27"/>
        <v>278.39344130272627</v>
      </c>
      <c r="M81" s="23">
        <f t="shared" si="40"/>
        <v>1.1353617821976512</v>
      </c>
      <c r="N81" s="23">
        <f t="shared" si="28"/>
        <v>0.69274057785474141</v>
      </c>
      <c r="O81" s="23">
        <f t="shared" si="41"/>
        <v>0.50020334268964428</v>
      </c>
      <c r="P81" s="23">
        <f t="shared" si="42"/>
        <v>0.6665171782648498</v>
      </c>
      <c r="Q81" s="23">
        <f t="shared" si="29"/>
        <v>1.2548502766276393E-2</v>
      </c>
      <c r="R81" s="23">
        <f t="shared" si="30"/>
        <v>0.13119888230754895</v>
      </c>
      <c r="S81" s="23">
        <f t="shared" si="31"/>
        <v>6.3531769035696767E-2</v>
      </c>
      <c r="T81" s="23">
        <f t="shared" si="43"/>
        <v>2.0650909662822685</v>
      </c>
      <c r="U81" s="23">
        <f t="shared" si="44"/>
        <v>66.752627429680885</v>
      </c>
      <c r="V81" s="23">
        <f t="shared" si="32"/>
        <v>2673.5479612594709</v>
      </c>
      <c r="W81">
        <f t="shared" si="45"/>
        <v>1696.6492989606302</v>
      </c>
      <c r="X81">
        <f t="shared" si="46"/>
        <v>643.91281032256279</v>
      </c>
      <c r="Y81">
        <f t="shared" si="47"/>
        <v>1052.7364886380674</v>
      </c>
      <c r="Z81">
        <f t="shared" si="33"/>
        <v>45478.216309164512</v>
      </c>
      <c r="AB81" s="23">
        <f t="shared" si="48"/>
        <v>8.749700404407066E-3</v>
      </c>
      <c r="AC81" s="23">
        <f t="shared" si="49"/>
        <v>1.257606407849946E-2</v>
      </c>
      <c r="AD81" s="23">
        <f t="shared" si="50"/>
        <v>0.69574235228062353</v>
      </c>
      <c r="AE81">
        <f t="shared" si="51"/>
        <v>571.61199846767022</v>
      </c>
      <c r="AF81">
        <f t="shared" si="52"/>
        <v>571.61199846767022</v>
      </c>
      <c r="AG81">
        <f t="shared" si="53"/>
        <v>24693.638333803356</v>
      </c>
    </row>
    <row r="82" spans="1:33" x14ac:dyDescent="0.35">
      <c r="A82" s="10">
        <v>25</v>
      </c>
      <c r="B82" s="21">
        <f t="shared" si="34"/>
        <v>44.1</v>
      </c>
      <c r="C82" s="21">
        <v>45</v>
      </c>
      <c r="D82" s="21">
        <f t="shared" si="35"/>
        <v>1</v>
      </c>
      <c r="E82" s="53">
        <f t="shared" si="36"/>
        <v>5.2010811709431026</v>
      </c>
      <c r="F82" s="79">
        <v>0.33527310531036886</v>
      </c>
      <c r="G82" s="82">
        <v>2.4633299873436081E-3</v>
      </c>
      <c r="H82" s="55">
        <f t="shared" si="37"/>
        <v>8.9738130783100214</v>
      </c>
      <c r="I82" s="55">
        <f t="shared" si="26"/>
        <v>68.979806376591583</v>
      </c>
      <c r="J82" s="55">
        <f t="shared" si="38"/>
        <v>8.6675747342440213E-2</v>
      </c>
      <c r="K82" s="55">
        <f t="shared" si="39"/>
        <v>4.9661545088640855</v>
      </c>
      <c r="L82" s="23">
        <f t="shared" si="27"/>
        <v>289.99316802367321</v>
      </c>
      <c r="M82" s="23">
        <f t="shared" si="40"/>
        <v>1.0886318856675588</v>
      </c>
      <c r="N82" s="23">
        <f>(G$5*(1-0.98))/(0.98*SIN(J82))</f>
        <v>0.35362381619176353</v>
      </c>
      <c r="O82" s="23">
        <f t="shared" si="41"/>
        <v>0.70213905102240515</v>
      </c>
      <c r="P82" s="23">
        <f t="shared" si="42"/>
        <v>0.50445696343350532</v>
      </c>
      <c r="Q82" s="23">
        <f t="shared" si="29"/>
        <v>1.1550743054096202E-2</v>
      </c>
      <c r="R82" s="23">
        <f t="shared" si="30"/>
        <v>9.5374559445842624E-2</v>
      </c>
      <c r="S82" s="23">
        <f t="shared" si="31"/>
        <v>6.0850742273063918E-2</v>
      </c>
      <c r="T82" s="23">
        <v>0.5</v>
      </c>
      <c r="U82" s="23">
        <f t="shared" si="44"/>
        <v>69.561073948843784</v>
      </c>
      <c r="V82" s="23">
        <f t="shared" si="32"/>
        <v>2903.2458053499081</v>
      </c>
      <c r="W82">
        <f t="shared" si="45"/>
        <v>410.40230304045338</v>
      </c>
      <c r="X82">
        <f t="shared" si="46"/>
        <v>670.67335941809029</v>
      </c>
      <c r="Y82">
        <f t="shared" si="47"/>
        <v>-260.27105637763691</v>
      </c>
      <c r="Z82">
        <f t="shared" si="33"/>
        <v>-11712.197536993661</v>
      </c>
      <c r="AB82" s="23">
        <f t="shared" si="48"/>
        <v>9.8163306701108E-3</v>
      </c>
      <c r="AC82" s="23">
        <f t="shared" si="49"/>
        <v>1.1579196345837458E-2</v>
      </c>
      <c r="AD82" s="23">
        <f t="shared" si="50"/>
        <v>0.8477557834693441</v>
      </c>
      <c r="AE82">
        <f t="shared" si="51"/>
        <v>695.84185190336552</v>
      </c>
      <c r="AF82">
        <f t="shared" si="52"/>
        <v>695.84185190336552</v>
      </c>
      <c r="AG82">
        <f t="shared" si="53"/>
        <v>31312.883335651448</v>
      </c>
    </row>
    <row r="85" spans="1:33" x14ac:dyDescent="0.35">
      <c r="W85" s="115" t="s">
        <v>94</v>
      </c>
      <c r="X85" s="115"/>
      <c r="Y85" s="115"/>
      <c r="AC85" s="120" t="s">
        <v>94</v>
      </c>
      <c r="AD85" s="120"/>
      <c r="AE85" s="120"/>
      <c r="AF85" s="120"/>
      <c r="AG85" s="120"/>
    </row>
    <row r="86" spans="1:33" x14ac:dyDescent="0.35">
      <c r="W86" s="116" t="s">
        <v>95</v>
      </c>
      <c r="X86" s="33">
        <f>SUM(Z58:Z82)</f>
        <v>1019112.2792106412</v>
      </c>
      <c r="Y86" s="33"/>
      <c r="AC86" s="121" t="s">
        <v>160</v>
      </c>
      <c r="AD86" s="67">
        <f>SUM(AG58:AG82)</f>
        <v>812697.47165734507</v>
      </c>
      <c r="AE86" s="67"/>
      <c r="AF86" s="67"/>
      <c r="AG86" s="67"/>
    </row>
    <row r="87" spans="1:33" x14ac:dyDescent="0.35">
      <c r="W87" s="116"/>
      <c r="X87" s="33">
        <f>X86-(Z58/2)-(Z82/2)</f>
        <v>1024169.3517348566</v>
      </c>
      <c r="Y87" s="33"/>
      <c r="AC87" s="121"/>
      <c r="AD87" s="67">
        <f>AD86-(AG58/2)-(AG82/2)</f>
        <v>796274.25262104825</v>
      </c>
      <c r="AE87" s="67"/>
      <c r="AF87" s="67"/>
      <c r="AG87" s="67"/>
    </row>
    <row r="88" spans="1:33" x14ac:dyDescent="0.35">
      <c r="W88" s="113" t="s">
        <v>151</v>
      </c>
      <c r="X88" s="114">
        <f>X87*1.8</f>
        <v>1843504.8331227419</v>
      </c>
      <c r="Y88" s="114" t="s">
        <v>97</v>
      </c>
      <c r="AC88" s="123" t="s">
        <v>161</v>
      </c>
      <c r="AD88" s="123">
        <f>AD87*1.8</f>
        <v>1433293.6547178868</v>
      </c>
      <c r="AE88" s="123"/>
      <c r="AF88" s="123"/>
      <c r="AG88" s="123"/>
    </row>
    <row r="89" spans="1:33" x14ac:dyDescent="0.35">
      <c r="W89" s="113"/>
      <c r="X89" s="114"/>
      <c r="Y89" s="114"/>
      <c r="AC89" s="123"/>
      <c r="AD89" s="123"/>
      <c r="AE89" s="123"/>
      <c r="AF89" s="123"/>
      <c r="AG89" s="123"/>
    </row>
    <row r="91" spans="1:33" x14ac:dyDescent="0.35">
      <c r="X91">
        <v>1281786</v>
      </c>
      <c r="AD91">
        <f>(AD88-X91)/1000</f>
        <v>151.50765471788682</v>
      </c>
    </row>
    <row r="92" spans="1:33" x14ac:dyDescent="0.35">
      <c r="AD92">
        <f>(X88-X91)/1000</f>
        <v>561.7188331227419</v>
      </c>
    </row>
    <row r="94" spans="1:33" x14ac:dyDescent="0.35">
      <c r="X94">
        <f>X88-X91</f>
        <v>561718.8331227419</v>
      </c>
    </row>
    <row r="97" spans="13:26" x14ac:dyDescent="0.35">
      <c r="X97" t="s">
        <v>75</v>
      </c>
      <c r="Y97" t="s">
        <v>91</v>
      </c>
    </row>
    <row r="98" spans="13:26" x14ac:dyDescent="0.35">
      <c r="W98" t="s">
        <v>164</v>
      </c>
      <c r="X98">
        <v>1.4</v>
      </c>
      <c r="Y98" s="68" t="s">
        <v>168</v>
      </c>
      <c r="Z98">
        <v>0.1</v>
      </c>
    </row>
    <row r="99" spans="13:26" x14ac:dyDescent="0.35">
      <c r="W99" t="s">
        <v>165</v>
      </c>
      <c r="X99">
        <v>1.3</v>
      </c>
      <c r="Y99" s="69" t="s">
        <v>169</v>
      </c>
      <c r="Z99">
        <v>0.04</v>
      </c>
    </row>
    <row r="100" spans="13:26" x14ac:dyDescent="0.35">
      <c r="W100" t="s">
        <v>166</v>
      </c>
      <c r="X100">
        <v>1.5</v>
      </c>
      <c r="Y100">
        <v>13</v>
      </c>
      <c r="Z100">
        <v>0.04</v>
      </c>
    </row>
    <row r="101" spans="13:26" x14ac:dyDescent="0.35">
      <c r="P101" t="s">
        <v>148</v>
      </c>
      <c r="W101" t="s">
        <v>167</v>
      </c>
      <c r="X101">
        <v>1.35</v>
      </c>
      <c r="Y101">
        <v>15</v>
      </c>
      <c r="Z101">
        <v>7.0000000000000007E-2</v>
      </c>
    </row>
    <row r="103" spans="13:26" x14ac:dyDescent="0.35">
      <c r="M103" t="s">
        <v>152</v>
      </c>
      <c r="N103">
        <f>45</f>
        <v>45</v>
      </c>
    </row>
    <row r="104" spans="13:26" x14ac:dyDescent="0.35">
      <c r="M104" t="s">
        <v>153</v>
      </c>
      <c r="N104">
        <f>5.38</f>
        <v>5.38</v>
      </c>
    </row>
    <row r="105" spans="13:26" x14ac:dyDescent="0.35">
      <c r="M105" t="s">
        <v>154</v>
      </c>
      <c r="N105" t="s">
        <v>155</v>
      </c>
      <c r="O105">
        <f>(N103*N103)/(N103*N104)</f>
        <v>8.3643122676579935</v>
      </c>
      <c r="R105" s="70" t="s">
        <v>55</v>
      </c>
      <c r="S105" s="70" t="s">
        <v>163</v>
      </c>
      <c r="T105" s="70" t="s">
        <v>82</v>
      </c>
      <c r="U105" s="70" t="s">
        <v>91</v>
      </c>
    </row>
    <row r="106" spans="13:26" x14ac:dyDescent="0.35">
      <c r="M106" t="s">
        <v>156</v>
      </c>
      <c r="N106">
        <f>0.01</f>
        <v>0.01</v>
      </c>
      <c r="O106" t="s">
        <v>157</v>
      </c>
      <c r="Q106" t="s">
        <v>170</v>
      </c>
      <c r="R106">
        <v>1.8</v>
      </c>
      <c r="S106" s="23">
        <v>46.517408947690448</v>
      </c>
      <c r="T106" s="23">
        <v>3.6175587070655024</v>
      </c>
    </row>
    <row r="107" spans="13:26" x14ac:dyDescent="0.35">
      <c r="M107" t="s">
        <v>158</v>
      </c>
      <c r="N107">
        <f>1/(PI()*O105*1)</f>
        <v>3.8055715281528749E-2</v>
      </c>
      <c r="Q107" t="s">
        <v>170</v>
      </c>
      <c r="R107">
        <v>3.6</v>
      </c>
      <c r="S107" s="23">
        <v>35.797874560002413</v>
      </c>
      <c r="T107" s="23">
        <v>4.3827127301712654</v>
      </c>
    </row>
    <row r="108" spans="13:26" x14ac:dyDescent="0.35">
      <c r="Q108" t="s">
        <v>167</v>
      </c>
      <c r="R108">
        <v>5.4</v>
      </c>
      <c r="S108" s="23">
        <v>29.499119759064577</v>
      </c>
      <c r="T108" s="23">
        <v>4.511252236503255</v>
      </c>
      <c r="U108">
        <v>15</v>
      </c>
      <c r="V108">
        <v>1.3</v>
      </c>
      <c r="W108">
        <v>7.0000000000000007E-2</v>
      </c>
    </row>
    <row r="109" spans="13:26" x14ac:dyDescent="0.35">
      <c r="M109" t="s">
        <v>159</v>
      </c>
      <c r="N109">
        <f>N106+(N107*1.3*1.3)</f>
        <v>7.4314158825783586E-2</v>
      </c>
      <c r="Q109" t="s">
        <v>167</v>
      </c>
      <c r="R109">
        <v>7.2</v>
      </c>
      <c r="S109" s="23">
        <v>24.903245589290297</v>
      </c>
      <c r="T109" s="23">
        <v>4.3141628106691954</v>
      </c>
      <c r="U109">
        <v>15</v>
      </c>
      <c r="V109">
        <v>1.3</v>
      </c>
      <c r="W109">
        <v>7.0000000000000007E-2</v>
      </c>
    </row>
    <row r="110" spans="13:26" x14ac:dyDescent="0.35">
      <c r="Q110" t="s">
        <v>167</v>
      </c>
      <c r="R110">
        <v>9</v>
      </c>
      <c r="S110" s="23">
        <v>21.382291253259879</v>
      </c>
      <c r="T110" s="23">
        <v>3.9921302796451332</v>
      </c>
      <c r="U110">
        <v>15</v>
      </c>
      <c r="V110">
        <v>1.3</v>
      </c>
      <c r="W110">
        <v>7.0000000000000007E-2</v>
      </c>
    </row>
    <row r="111" spans="13:26" x14ac:dyDescent="0.35">
      <c r="Q111" t="s">
        <v>167</v>
      </c>
      <c r="R111">
        <v>10.8</v>
      </c>
      <c r="S111" s="23">
        <v>18.627226233164137</v>
      </c>
      <c r="T111" s="23">
        <v>3.645789174182144</v>
      </c>
      <c r="U111">
        <v>15</v>
      </c>
      <c r="V111">
        <v>1.3</v>
      </c>
      <c r="W111">
        <v>7.0000000000000007E-2</v>
      </c>
    </row>
    <row r="112" spans="13:26" x14ac:dyDescent="0.35">
      <c r="Q112" t="s">
        <v>167</v>
      </c>
      <c r="R112">
        <v>12.6</v>
      </c>
      <c r="S112" s="23">
        <v>16.435799697046232</v>
      </c>
      <c r="T112" s="23">
        <v>3.3179670650889146</v>
      </c>
      <c r="U112">
        <v>15</v>
      </c>
      <c r="V112">
        <v>1.3</v>
      </c>
      <c r="W112">
        <v>7.0000000000000007E-2</v>
      </c>
    </row>
    <row r="113" spans="17:23" x14ac:dyDescent="0.35">
      <c r="Q113" t="s">
        <v>167</v>
      </c>
      <c r="R113">
        <v>14.4</v>
      </c>
      <c r="S113" s="23">
        <v>14.665608658522146</v>
      </c>
      <c r="T113" s="23">
        <v>3.0233625413331993</v>
      </c>
      <c r="U113">
        <v>15</v>
      </c>
      <c r="V113">
        <v>1.3</v>
      </c>
      <c r="W113">
        <v>7.0000000000000007E-2</v>
      </c>
    </row>
    <row r="114" spans="17:23" x14ac:dyDescent="0.35">
      <c r="Q114" t="s">
        <v>166</v>
      </c>
      <c r="R114">
        <v>16.2</v>
      </c>
      <c r="S114" s="23">
        <v>13.214533759871831</v>
      </c>
      <c r="T114" s="23">
        <v>2.764347942754017</v>
      </c>
      <c r="U114">
        <v>13</v>
      </c>
      <c r="V114">
        <v>1.5</v>
      </c>
      <c r="W114">
        <v>0.04</v>
      </c>
    </row>
    <row r="115" spans="17:23" x14ac:dyDescent="0.35">
      <c r="Q115" t="s">
        <v>166</v>
      </c>
      <c r="R115">
        <v>18</v>
      </c>
      <c r="S115" s="23">
        <v>12.008630998784184</v>
      </c>
      <c r="T115" s="23">
        <v>2.5384528816255698</v>
      </c>
      <c r="U115">
        <v>13</v>
      </c>
      <c r="V115">
        <v>1.5</v>
      </c>
      <c r="W115">
        <v>0.04</v>
      </c>
    </row>
    <row r="116" spans="17:23" x14ac:dyDescent="0.35">
      <c r="Q116" t="s">
        <v>166</v>
      </c>
      <c r="R116">
        <v>19.8</v>
      </c>
      <c r="S116" s="23">
        <v>10.993792565414562</v>
      </c>
      <c r="T116" s="23">
        <v>2.341679176503646</v>
      </c>
      <c r="U116">
        <v>13</v>
      </c>
      <c r="V116">
        <v>1.5</v>
      </c>
      <c r="W116">
        <v>0.04</v>
      </c>
    </row>
    <row r="117" spans="17:23" x14ac:dyDescent="0.35">
      <c r="Q117" t="s">
        <v>166</v>
      </c>
      <c r="R117">
        <v>21.6</v>
      </c>
      <c r="S117" s="23">
        <v>10.129940499169964</v>
      </c>
      <c r="T117" s="23">
        <v>2.1698811821054043</v>
      </c>
      <c r="U117">
        <v>13</v>
      </c>
      <c r="V117">
        <v>1.5</v>
      </c>
      <c r="W117">
        <v>0.04</v>
      </c>
    </row>
    <row r="118" spans="17:23" x14ac:dyDescent="0.35">
      <c r="Q118" t="s">
        <v>166</v>
      </c>
      <c r="R118">
        <v>23.4</v>
      </c>
      <c r="S118" s="23">
        <v>9.3869963415953848</v>
      </c>
      <c r="T118" s="23">
        <v>2.0192844474410578</v>
      </c>
      <c r="U118">
        <v>13</v>
      </c>
      <c r="V118">
        <v>1.5</v>
      </c>
      <c r="W118">
        <v>0.04</v>
      </c>
    </row>
    <row r="119" spans="17:23" x14ac:dyDescent="0.35">
      <c r="Q119" t="s">
        <v>166</v>
      </c>
      <c r="R119">
        <v>25.2</v>
      </c>
      <c r="S119" s="23">
        <v>8.7420827043099987</v>
      </c>
      <c r="T119" s="23">
        <v>1.8866339994923411</v>
      </c>
      <c r="U119">
        <v>13</v>
      </c>
      <c r="V119">
        <v>1.5</v>
      </c>
      <c r="W119">
        <v>0.04</v>
      </c>
    </row>
    <row r="120" spans="17:23" x14ac:dyDescent="0.35">
      <c r="Q120" t="s">
        <v>166</v>
      </c>
      <c r="R120">
        <v>27</v>
      </c>
      <c r="S120" s="23">
        <v>8.1775702380600066</v>
      </c>
      <c r="T120" s="23">
        <v>1.7691919778866181</v>
      </c>
      <c r="U120">
        <v>13</v>
      </c>
      <c r="V120">
        <v>1.5</v>
      </c>
      <c r="W120">
        <v>0.04</v>
      </c>
    </row>
    <row r="121" spans="17:23" x14ac:dyDescent="0.35">
      <c r="Q121" t="s">
        <v>166</v>
      </c>
      <c r="R121">
        <v>28.8</v>
      </c>
      <c r="S121" s="23">
        <v>7.6797029582669278</v>
      </c>
      <c r="T121" s="23">
        <v>1.6646810194490524</v>
      </c>
      <c r="U121">
        <v>13</v>
      </c>
      <c r="V121">
        <v>1.5</v>
      </c>
      <c r="W121">
        <v>0.04</v>
      </c>
    </row>
    <row r="122" spans="17:23" x14ac:dyDescent="0.35">
      <c r="Q122" t="s">
        <v>166</v>
      </c>
      <c r="R122">
        <v>30.6</v>
      </c>
      <c r="S122" s="23">
        <v>7.2376205405159677</v>
      </c>
      <c r="T122" s="23">
        <v>1.5712144515067257</v>
      </c>
      <c r="U122">
        <v>13</v>
      </c>
      <c r="V122">
        <v>1.5</v>
      </c>
      <c r="W122">
        <v>0.04</v>
      </c>
    </row>
    <row r="123" spans="17:23" x14ac:dyDescent="0.35">
      <c r="Q123" t="s">
        <v>166</v>
      </c>
      <c r="R123">
        <v>32.4</v>
      </c>
      <c r="S123" s="23">
        <v>6.8426552346473795</v>
      </c>
      <c r="T123" s="23">
        <v>1.4872297743349379</v>
      </c>
      <c r="U123">
        <v>13</v>
      </c>
      <c r="V123">
        <v>1.5</v>
      </c>
      <c r="W123">
        <v>0.04</v>
      </c>
    </row>
    <row r="124" spans="17:23" x14ac:dyDescent="0.35">
      <c r="Q124" t="s">
        <v>166</v>
      </c>
      <c r="R124">
        <v>34.200000000000003</v>
      </c>
      <c r="S124" s="23">
        <v>6.4878210237415965</v>
      </c>
      <c r="T124" s="23">
        <v>1.411431253817155</v>
      </c>
      <c r="U124">
        <v>13</v>
      </c>
      <c r="V124">
        <v>1.5</v>
      </c>
      <c r="W124">
        <v>0.04</v>
      </c>
    </row>
    <row r="125" spans="17:23" x14ac:dyDescent="0.35">
      <c r="Q125" t="s">
        <v>166</v>
      </c>
      <c r="R125">
        <v>36</v>
      </c>
      <c r="S125" s="23">
        <v>6.1674399366667991</v>
      </c>
      <c r="T125" s="23">
        <v>1.3427432210943653</v>
      </c>
      <c r="U125">
        <v>13</v>
      </c>
      <c r="V125">
        <v>1.5</v>
      </c>
      <c r="W125">
        <v>0.04</v>
      </c>
    </row>
    <row r="126" spans="17:23" x14ac:dyDescent="0.35">
      <c r="Q126" t="s">
        <v>166</v>
      </c>
      <c r="R126">
        <v>37.799999999999997</v>
      </c>
      <c r="S126" s="23">
        <v>5.8768704858864487</v>
      </c>
      <c r="T126" s="23">
        <v>1.2802749245173843</v>
      </c>
      <c r="U126">
        <v>13</v>
      </c>
      <c r="V126">
        <v>1.5</v>
      </c>
      <c r="W126">
        <v>0.04</v>
      </c>
    </row>
    <row r="127" spans="17:23" x14ac:dyDescent="0.35">
      <c r="Q127" t="s">
        <v>165</v>
      </c>
      <c r="R127">
        <v>39.6</v>
      </c>
      <c r="S127" s="23">
        <v>5.6123238404506797</v>
      </c>
      <c r="T127" s="23">
        <v>1.223301039376077</v>
      </c>
      <c r="U127">
        <v>12</v>
      </c>
      <c r="V127">
        <v>1.3</v>
      </c>
      <c r="W127">
        <v>0.04</v>
      </c>
    </row>
    <row r="128" spans="17:23" x14ac:dyDescent="0.35">
      <c r="Q128" t="s">
        <v>165</v>
      </c>
      <c r="R128">
        <v>41.4</v>
      </c>
      <c r="S128" s="23">
        <v>5.3708048818527558</v>
      </c>
      <c r="T128" s="23">
        <v>1.1712808778183117</v>
      </c>
      <c r="U128">
        <v>12</v>
      </c>
      <c r="V128">
        <v>1.3</v>
      </c>
      <c r="W128">
        <v>0.04</v>
      </c>
    </row>
    <row r="129" spans="17:23" x14ac:dyDescent="0.35">
      <c r="Q129" t="s">
        <v>165</v>
      </c>
      <c r="R129">
        <v>43.2</v>
      </c>
      <c r="S129" s="23">
        <v>5.1505891909924015</v>
      </c>
      <c r="T129" s="23">
        <v>1.1241003422211524</v>
      </c>
      <c r="U129">
        <v>12</v>
      </c>
      <c r="V129">
        <v>1.3</v>
      </c>
      <c r="W129">
        <v>0.04</v>
      </c>
    </row>
    <row r="130" spans="17:23" x14ac:dyDescent="0.35">
      <c r="Q130" t="s">
        <v>165</v>
      </c>
      <c r="R130">
        <v>45</v>
      </c>
      <c r="S130" s="23">
        <v>4.941447272501577</v>
      </c>
      <c r="T130" s="23">
        <v>1.0778333716605666</v>
      </c>
      <c r="U130">
        <v>12</v>
      </c>
      <c r="V130">
        <v>1.3</v>
      </c>
      <c r="W130">
        <v>0.04</v>
      </c>
    </row>
  </sheetData>
  <mergeCells count="31">
    <mergeCell ref="J3:N3"/>
    <mergeCell ref="X8:AF8"/>
    <mergeCell ref="Y39:Y40"/>
    <mergeCell ref="Y41:Y42"/>
    <mergeCell ref="Z41:Z42"/>
    <mergeCell ref="AA41:AA42"/>
    <mergeCell ref="Z10:AB10"/>
    <mergeCell ref="W41:W42"/>
    <mergeCell ref="Y38:AA38"/>
    <mergeCell ref="AC85:AG85"/>
    <mergeCell ref="W85:Y85"/>
    <mergeCell ref="AC86:AC87"/>
    <mergeCell ref="AB56:AG56"/>
    <mergeCell ref="AC88:AC89"/>
    <mergeCell ref="AD88:AD89"/>
    <mergeCell ref="AE88:AG89"/>
    <mergeCell ref="W86:W87"/>
    <mergeCell ref="W88:W89"/>
    <mergeCell ref="X88:X89"/>
    <mergeCell ref="Y88:Y89"/>
    <mergeCell ref="L56:M56"/>
    <mergeCell ref="N56:P56"/>
    <mergeCell ref="R56:T56"/>
    <mergeCell ref="U41:U42"/>
    <mergeCell ref="V41:V42"/>
    <mergeCell ref="A54:Z54"/>
    <mergeCell ref="H10:I10"/>
    <mergeCell ref="J10:L10"/>
    <mergeCell ref="N10:P10"/>
    <mergeCell ref="U38:W38"/>
    <mergeCell ref="U39:U40"/>
  </mergeCells>
  <phoneticPr fontId="8" type="noConversion"/>
  <pageMargins left="0.7" right="0.7" top="0.75" bottom="0.75" header="0.3" footer="0.3"/>
  <ignoredErrors>
    <ignoredError sqref="B58:B82 B12:B36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2E54-CEC4-4434-AAF3-3C5C8F2B23C9}">
  <dimension ref="A1:AV101"/>
  <sheetViews>
    <sheetView zoomScale="85" zoomScaleNormal="85" workbookViewId="0">
      <selection activeCell="G12" sqref="G12:G37"/>
    </sheetView>
  </sheetViews>
  <sheetFormatPr defaultRowHeight="14.5" x14ac:dyDescent="0.35"/>
  <cols>
    <col min="2" max="2" width="11.453125" bestFit="1" customWidth="1"/>
    <col min="3" max="3" width="20" customWidth="1"/>
    <col min="5" max="5" width="9.7265625" bestFit="1" customWidth="1"/>
    <col min="6" max="6" width="11.7265625" bestFit="1" customWidth="1"/>
    <col min="7" max="7" width="10.7265625" bestFit="1" customWidth="1"/>
    <col min="8" max="8" width="12.7265625" bestFit="1" customWidth="1"/>
    <col min="9" max="9" width="10.7265625" bestFit="1" customWidth="1"/>
    <col min="10" max="10" width="11.7265625" bestFit="1" customWidth="1"/>
    <col min="11" max="11" width="12.81640625" bestFit="1" customWidth="1"/>
    <col min="12" max="14" width="10.7265625" bestFit="1" customWidth="1"/>
    <col min="15" max="15" width="12.26953125" bestFit="1" customWidth="1"/>
    <col min="16" max="16" width="12.81640625" bestFit="1" customWidth="1"/>
    <col min="17" max="24" width="10.7265625" customWidth="1"/>
    <col min="25" max="25" width="11.7265625" bestFit="1" customWidth="1"/>
    <col min="26" max="26" width="11.7265625" customWidth="1"/>
    <col min="27" max="27" width="11.7265625" bestFit="1" customWidth="1"/>
    <col min="28" max="29" width="13.81640625" bestFit="1" customWidth="1"/>
    <col min="30" max="30" width="12.7265625" bestFit="1" customWidth="1"/>
    <col min="31" max="31" width="13.81640625" bestFit="1" customWidth="1"/>
    <col min="32" max="32" width="15" bestFit="1" customWidth="1"/>
    <col min="33" max="33" width="12.453125" bestFit="1" customWidth="1"/>
    <col min="37" max="37" width="19.26953125" bestFit="1" customWidth="1"/>
  </cols>
  <sheetData>
    <row r="1" spans="1:32" x14ac:dyDescent="0.35">
      <c r="C1" t="s">
        <v>119</v>
      </c>
      <c r="D1">
        <f>45</f>
        <v>45</v>
      </c>
    </row>
    <row r="2" spans="1:32" x14ac:dyDescent="0.35">
      <c r="C2" s="1" t="s">
        <v>51</v>
      </c>
      <c r="D2" s="34">
        <f>5.2</f>
        <v>5.2</v>
      </c>
      <c r="F2" s="1" t="s">
        <v>120</v>
      </c>
      <c r="G2">
        <f>1.3</f>
        <v>1.3</v>
      </c>
    </row>
    <row r="3" spans="1:32" x14ac:dyDescent="0.35">
      <c r="C3" s="1" t="s">
        <v>102</v>
      </c>
      <c r="D3" s="25">
        <f>RADIANS(10)</f>
        <v>0.17453292519943295</v>
      </c>
      <c r="F3" s="1" t="s">
        <v>102</v>
      </c>
      <c r="G3">
        <f>RADIANS(12)</f>
        <v>0.20943951023931956</v>
      </c>
      <c r="J3" s="94" t="s">
        <v>136</v>
      </c>
      <c r="K3" s="94"/>
      <c r="L3" s="94"/>
      <c r="M3" s="94"/>
      <c r="N3" s="94"/>
    </row>
    <row r="4" spans="1:32" x14ac:dyDescent="0.35">
      <c r="C4" s="1" t="s">
        <v>103</v>
      </c>
      <c r="D4" s="25">
        <f>13.5</f>
        <v>13.5</v>
      </c>
      <c r="F4" s="1" t="s">
        <v>104</v>
      </c>
      <c r="G4">
        <f>3</f>
        <v>3</v>
      </c>
    </row>
    <row r="5" spans="1:32" x14ac:dyDescent="0.35">
      <c r="C5" s="1" t="s">
        <v>80</v>
      </c>
      <c r="D5" s="25">
        <f>(2*PI()*14.9)/60</f>
        <v>1.5603243512829306</v>
      </c>
      <c r="F5" s="48" t="s">
        <v>123</v>
      </c>
      <c r="G5">
        <f>G4/2</f>
        <v>1.5</v>
      </c>
    </row>
    <row r="6" spans="1:32" x14ac:dyDescent="0.35">
      <c r="C6" s="1" t="s">
        <v>124</v>
      </c>
      <c r="D6" s="25">
        <v>1.2</v>
      </c>
      <c r="F6" s="48"/>
    </row>
    <row r="7" spans="1:32" x14ac:dyDescent="0.35">
      <c r="C7" s="1" t="s">
        <v>101</v>
      </c>
      <c r="D7" s="27">
        <f>(16*PI())/(3*1.3)</f>
        <v>12.888585245496586</v>
      </c>
    </row>
    <row r="8" spans="1:32" x14ac:dyDescent="0.35">
      <c r="C8" s="1" t="s">
        <v>91</v>
      </c>
      <c r="D8" s="25">
        <f>RADIANS(10)</f>
        <v>0.17453292519943295</v>
      </c>
    </row>
    <row r="10" spans="1:32" x14ac:dyDescent="0.35">
      <c r="A10" s="26" t="s">
        <v>125</v>
      </c>
      <c r="B10" s="26" t="s">
        <v>126</v>
      </c>
      <c r="C10" s="26" t="s">
        <v>55</v>
      </c>
      <c r="D10" s="26" t="s">
        <v>106</v>
      </c>
      <c r="E10" s="26" t="s">
        <v>141</v>
      </c>
      <c r="F10" s="26" t="s">
        <v>112</v>
      </c>
      <c r="G10" s="26" t="s">
        <v>127</v>
      </c>
      <c r="H10" s="118" t="s">
        <v>82</v>
      </c>
      <c r="I10" s="118"/>
      <c r="J10" s="118" t="s">
        <v>128</v>
      </c>
      <c r="K10" s="118"/>
      <c r="L10" s="118"/>
      <c r="M10" s="26" t="s">
        <v>129</v>
      </c>
      <c r="N10" s="118" t="s">
        <v>75</v>
      </c>
      <c r="O10" s="118"/>
      <c r="P10" s="118"/>
      <c r="Q10" s="59"/>
      <c r="R10" s="59"/>
      <c r="S10" s="125" t="s">
        <v>142</v>
      </c>
      <c r="T10" s="126"/>
      <c r="U10" s="126"/>
      <c r="V10" s="61"/>
      <c r="W10" s="61"/>
      <c r="X10" s="62"/>
      <c r="Y10" s="26" t="s">
        <v>145</v>
      </c>
      <c r="Z10" s="26" t="s">
        <v>144</v>
      </c>
      <c r="AA10" s="26" t="s">
        <v>130</v>
      </c>
      <c r="AB10" s="26" t="s">
        <v>131</v>
      </c>
      <c r="AC10" s="26" t="s">
        <v>114</v>
      </c>
      <c r="AD10" s="26" t="s">
        <v>115</v>
      </c>
      <c r="AE10" s="26" t="s">
        <v>89</v>
      </c>
      <c r="AF10" s="26" t="s">
        <v>90</v>
      </c>
    </row>
    <row r="11" spans="1:32" x14ac:dyDescent="0.35">
      <c r="A11" s="10"/>
      <c r="B11" s="21"/>
      <c r="C11" s="26">
        <v>0</v>
      </c>
      <c r="D11" s="26"/>
      <c r="E11" s="26"/>
      <c r="F11" s="26"/>
      <c r="G11" s="26"/>
      <c r="H11" s="26" t="s">
        <v>132</v>
      </c>
      <c r="I11" s="26" t="s">
        <v>82</v>
      </c>
      <c r="J11" s="26" t="s">
        <v>132</v>
      </c>
      <c r="K11" s="26" t="s">
        <v>133</v>
      </c>
      <c r="L11" s="26" t="s">
        <v>128</v>
      </c>
      <c r="M11" s="26"/>
      <c r="N11" s="26" t="s">
        <v>134</v>
      </c>
      <c r="O11" s="26" t="s">
        <v>135</v>
      </c>
      <c r="P11" s="26" t="s">
        <v>75</v>
      </c>
      <c r="Q11" s="26" t="s">
        <v>149</v>
      </c>
      <c r="R11" s="26" t="s">
        <v>9</v>
      </c>
      <c r="S11" s="26" t="s">
        <v>135</v>
      </c>
      <c r="T11" s="26" t="s">
        <v>196</v>
      </c>
      <c r="U11" s="26" t="s">
        <v>142</v>
      </c>
      <c r="V11" s="26" t="s">
        <v>135</v>
      </c>
      <c r="W11" s="26" t="s">
        <v>197</v>
      </c>
      <c r="X11" s="26" t="s">
        <v>143</v>
      </c>
      <c r="Y11" s="26"/>
      <c r="Z11" s="26"/>
      <c r="AA11" s="26"/>
      <c r="AB11" s="26"/>
      <c r="AC11" s="26"/>
      <c r="AD11" s="26"/>
      <c r="AE11" s="26"/>
      <c r="AF11" s="26">
        <v>0</v>
      </c>
    </row>
    <row r="12" spans="1:32" x14ac:dyDescent="0.35">
      <c r="A12" s="10">
        <v>1</v>
      </c>
      <c r="B12" s="21">
        <f>AVERAGE(C11:C12)</f>
        <v>0.9</v>
      </c>
      <c r="C12" s="21">
        <v>1.8</v>
      </c>
      <c r="D12" s="21">
        <f>C12/D$1</f>
        <v>0.04</v>
      </c>
      <c r="E12" s="22">
        <f>(D$5*C12)/D$4</f>
        <v>0.20804324683772407</v>
      </c>
      <c r="F12" s="22">
        <f t="shared" ref="F12:F36" si="0">(2*ATAN(1/E12))/3</f>
        <v>0.9104526489144521</v>
      </c>
      <c r="G12" s="22">
        <f>DEGREES(F12)</f>
        <v>52.165094229304195</v>
      </c>
      <c r="H12" s="22">
        <f t="shared" ref="H12:H36" si="1">(8*PI()*C12)/(G$4*G$2)</f>
        <v>11.599726720946927</v>
      </c>
      <c r="I12" s="22">
        <f>H12*(1-COS(F12))</f>
        <v>4.4845898511942721</v>
      </c>
      <c r="J12" s="22">
        <f t="shared" ref="J12:J36" si="2">(G$5*(1-D12))/(D12*SIN(F12))</f>
        <v>45.582229212490468</v>
      </c>
      <c r="K12" s="22">
        <f>EXP(-J12)</f>
        <v>1.5991506545450049E-20</v>
      </c>
      <c r="L12" s="22">
        <f>(2*ACOS(K12))/(PI())</f>
        <v>1</v>
      </c>
      <c r="M12" s="22">
        <f>(G$4*I12)/(2*PI()*C12)</f>
        <v>1.189574404262193</v>
      </c>
      <c r="N12" s="22">
        <f t="shared" ref="N12:N36" si="3">4*L12*SIN(F12)*(COS(F12)-(E12*SIN(F12)))</f>
        <v>1.4186990413716565</v>
      </c>
      <c r="O12" s="22">
        <f t="shared" ref="O12:O36" si="4">M12*(SIN(F12)+(E12*COS(F12)))</f>
        <v>1.0913069549012744</v>
      </c>
      <c r="P12" s="22">
        <f>(N12/O12)</f>
        <v>1.2999999999999998</v>
      </c>
      <c r="Q12" s="22">
        <f>(P12*COS(F12))+(0.074*SIN(F12))</f>
        <v>0.8558486429900718</v>
      </c>
      <c r="R12" s="22">
        <f>(P12*SIN(F12))-(0.074*COS(F12))</f>
        <v>0.98132517561308497</v>
      </c>
      <c r="S12" s="22">
        <f>(4*L12*SIN(F12)*SIN(F12))/(M12*Q12)</f>
        <v>2.4506725942469645</v>
      </c>
      <c r="T12" s="22">
        <f>S12+1</f>
        <v>3.4506725942469645</v>
      </c>
      <c r="U12" s="22">
        <f>1/T12</f>
        <v>0.28979857482486793</v>
      </c>
      <c r="V12" s="22">
        <f>(4*L12*SIN(F12)*COS(F12))/(M12*R12)</f>
        <v>1.6599609851464381</v>
      </c>
      <c r="W12" s="22">
        <f>V12-1</f>
        <v>0.65996098514643808</v>
      </c>
      <c r="X12" s="22">
        <f>1/W12</f>
        <v>1.515241086225894</v>
      </c>
      <c r="Y12" s="22">
        <f>B12*D$5*(1+X12)</f>
        <v>3.5321327245670324</v>
      </c>
      <c r="Z12" s="22">
        <f>D$4*(1-U12)</f>
        <v>9.587719239864283</v>
      </c>
      <c r="AA12" s="22">
        <f>((Z12*Z12)+(Y12*Y12))^(1/2)</f>
        <v>10.217647567146807</v>
      </c>
      <c r="AB12" s="22">
        <f t="shared" ref="AB12:AB36" si="5">0.5*D$6*AA12*AA12</f>
        <v>62.640193083852637</v>
      </c>
      <c r="AC12" s="22">
        <f>(AB12*G$4*I12*P12*SIN(F12))</f>
        <v>865.26146913767161</v>
      </c>
      <c r="AD12" s="22">
        <f>AB12*G$4*I12*0.0713*COS(F12)</f>
        <v>36.857179954780548</v>
      </c>
      <c r="AE12" s="22">
        <f>AC12-AD12</f>
        <v>828.40428918289103</v>
      </c>
      <c r="AF12" s="22">
        <f t="shared" ref="AF12:AF36" si="6">AE12*B12</f>
        <v>745.563860264602</v>
      </c>
    </row>
    <row r="13" spans="1:32" x14ac:dyDescent="0.35">
      <c r="A13" s="10">
        <v>2</v>
      </c>
      <c r="B13" s="21">
        <f t="shared" ref="B13:B36" si="7">AVERAGE(C12:C13)</f>
        <v>2.7</v>
      </c>
      <c r="C13" s="21">
        <v>3.6</v>
      </c>
      <c r="D13" s="21">
        <f t="shared" ref="D13:D36" si="8">C13/D$1</f>
        <v>0.08</v>
      </c>
      <c r="E13" s="22">
        <f t="shared" ref="E13:E36" si="9">(D$5*C13)/D$4</f>
        <v>0.41608649367544814</v>
      </c>
      <c r="F13" s="22">
        <f t="shared" si="0"/>
        <v>0.78433310499017994</v>
      </c>
      <c r="G13" s="22">
        <f t="shared" ref="G13:G36" si="10">DEGREES(F13)</f>
        <v>44.938976648328598</v>
      </c>
      <c r="H13" s="22">
        <f t="shared" si="1"/>
        <v>23.199453441893855</v>
      </c>
      <c r="I13" s="22">
        <f t="shared" ref="I13:I36" si="11">H13*(1-COS(F13))</f>
        <v>6.7775001599284401</v>
      </c>
      <c r="J13" s="22">
        <f t="shared" si="2"/>
        <v>24.421207809801999</v>
      </c>
      <c r="K13" s="22">
        <f t="shared" ref="K13:K36" si="12">EXP(-J13)</f>
        <v>2.477446055280559E-11</v>
      </c>
      <c r="L13" s="22">
        <f t="shared" ref="L13:L36" si="13">(2*ACOS(K13))/(PI())</f>
        <v>0.99999999998422817</v>
      </c>
      <c r="M13" s="22">
        <f t="shared" ref="M13:M36" si="14">(G$4*I13)/(2*PI()*C13)</f>
        <v>0.89889387688226874</v>
      </c>
      <c r="N13" s="22">
        <f t="shared" si="3"/>
        <v>1.1695950995671709</v>
      </c>
      <c r="O13" s="22">
        <f t="shared" si="4"/>
        <v>0.8996885381427826</v>
      </c>
      <c r="P13" s="22">
        <f t="shared" ref="P13:P36" si="15">(N13/O13)</f>
        <v>1.2999999999794969</v>
      </c>
      <c r="Q13" s="22">
        <f t="shared" ref="Q13:Q36" si="16">(P13*COS(F13))+(0.074*SIN(F13))</f>
        <v>0.97248747900150545</v>
      </c>
      <c r="R13" s="22">
        <f t="shared" ref="R13:R36" si="17">(P13*SIN(F13))-(0.074*COS(F13))</f>
        <v>0.86587764905440789</v>
      </c>
      <c r="S13" s="22">
        <f t="shared" ref="S13:S36" si="18">(4*L13*SIN(F13)*SIN(F13))/(M13*Q13)</f>
        <v>2.2830292265169487</v>
      </c>
      <c r="T13" s="22">
        <f t="shared" ref="T13:T36" si="19">S13+1</f>
        <v>3.2830292265169487</v>
      </c>
      <c r="U13" s="22">
        <f t="shared" ref="U13:U36" si="20">1/T13</f>
        <v>0.30459674008474363</v>
      </c>
      <c r="V13" s="22">
        <f t="shared" ref="V13:V36" si="21">(4*L13*SIN(F13)*COS(F13))/(M13*R13)</f>
        <v>2.5695913341340688</v>
      </c>
      <c r="W13" s="22">
        <f t="shared" ref="W13:W36" si="22">V13-1</f>
        <v>1.5695913341340688</v>
      </c>
      <c r="X13" s="22">
        <f>1/W13</f>
        <v>0.63710851242160571</v>
      </c>
      <c r="Y13" s="22">
        <f t="shared" ref="Y13:Y36" si="23">B13*D$5*(1+X13)</f>
        <v>6.8969347495848146</v>
      </c>
      <c r="Z13" s="22">
        <f t="shared" ref="Z13:Z36" si="24">D$4*(1-U13)</f>
        <v>9.3879440088559623</v>
      </c>
      <c r="AA13" s="22">
        <f t="shared" ref="AA13:AA36" si="25">((Z13*Z13)+(Y13*Y13))^(1/2)</f>
        <v>11.649085872009232</v>
      </c>
      <c r="AB13" s="22">
        <f t="shared" si="5"/>
        <v>81.420720992067061</v>
      </c>
      <c r="AC13" s="22">
        <f t="shared" ref="AC13:AC36" si="26">(AB13*G$4*I13*P13*SIN(F13))</f>
        <v>1520.1661141906638</v>
      </c>
      <c r="AD13" s="22">
        <f t="shared" ref="AD13:AD36" si="27">AB13*G$4*I13*0.0713*COS(F13)</f>
        <v>83.553053047242202</v>
      </c>
      <c r="AE13" s="22">
        <f t="shared" ref="AE13:AE36" si="28">AC13-AD13</f>
        <v>1436.6130611434216</v>
      </c>
      <c r="AF13" s="22">
        <f t="shared" si="6"/>
        <v>3878.8552650872389</v>
      </c>
    </row>
    <row r="14" spans="1:32" x14ac:dyDescent="0.35">
      <c r="A14" s="10">
        <v>3</v>
      </c>
      <c r="B14" s="21">
        <f t="shared" si="7"/>
        <v>4.5</v>
      </c>
      <c r="C14" s="21">
        <v>5.4</v>
      </c>
      <c r="D14" s="21">
        <f t="shared" si="8"/>
        <v>0.12000000000000001</v>
      </c>
      <c r="E14" s="22">
        <f t="shared" si="9"/>
        <v>0.62412974051317227</v>
      </c>
      <c r="F14" s="22">
        <f t="shared" si="0"/>
        <v>0.67521537387314545</v>
      </c>
      <c r="G14" s="22">
        <f t="shared" si="10"/>
        <v>38.68699118527919</v>
      </c>
      <c r="H14" s="22">
        <f t="shared" si="1"/>
        <v>34.799180162840784</v>
      </c>
      <c r="I14" s="22">
        <f t="shared" si="11"/>
        <v>7.6359024478592925</v>
      </c>
      <c r="J14" s="22">
        <f t="shared" si="2"/>
        <v>17.598157230420075</v>
      </c>
      <c r="K14" s="22">
        <f t="shared" si="12"/>
        <v>2.2762367100908256E-8</v>
      </c>
      <c r="L14" s="22">
        <f t="shared" si="13"/>
        <v>0.99999998550902702</v>
      </c>
      <c r="M14" s="22">
        <f t="shared" si="14"/>
        <v>0.67516201085795002</v>
      </c>
      <c r="N14" s="22">
        <f t="shared" si="3"/>
        <v>0.97622822916285845</v>
      </c>
      <c r="O14" s="22">
        <f t="shared" si="4"/>
        <v>0.75094480254565832</v>
      </c>
      <c r="P14" s="22">
        <f t="shared" si="15"/>
        <v>1.2999999811617349</v>
      </c>
      <c r="Q14" s="22">
        <f t="shared" si="16"/>
        <v>1.0609988787202527</v>
      </c>
      <c r="R14" s="22">
        <f t="shared" si="17"/>
        <v>0.75482271453294103</v>
      </c>
      <c r="S14" s="22">
        <f t="shared" si="18"/>
        <v>2.1816649039833123</v>
      </c>
      <c r="T14" s="22">
        <f t="shared" si="19"/>
        <v>3.1816649039833123</v>
      </c>
      <c r="U14" s="22">
        <f t="shared" si="20"/>
        <v>0.31430085511143602</v>
      </c>
      <c r="V14" s="22">
        <f t="shared" si="21"/>
        <v>3.8295317917894569</v>
      </c>
      <c r="W14" s="22">
        <f t="shared" si="22"/>
        <v>2.8295317917894569</v>
      </c>
      <c r="X14" s="22">
        <f t="shared" ref="X14:X36" si="29">1/W14</f>
        <v>0.3534153611214873</v>
      </c>
      <c r="Y14" s="22">
        <f t="shared" si="23"/>
        <v>9.5029512541120713</v>
      </c>
      <c r="Z14" s="22">
        <f t="shared" si="24"/>
        <v>9.2569384559956145</v>
      </c>
      <c r="AA14" s="22">
        <f t="shared" si="25"/>
        <v>13.266385797048141</v>
      </c>
      <c r="AB14" s="22">
        <f t="shared" si="5"/>
        <v>105.59819526967237</v>
      </c>
      <c r="AC14" s="22">
        <f t="shared" si="26"/>
        <v>1965.6534804891951</v>
      </c>
      <c r="AD14" s="22">
        <f t="shared" si="27"/>
        <v>134.6296799345017</v>
      </c>
      <c r="AE14" s="22">
        <f t="shared" si="28"/>
        <v>1831.0238005546935</v>
      </c>
      <c r="AF14" s="22">
        <f t="shared" si="6"/>
        <v>8239.6071024961202</v>
      </c>
    </row>
    <row r="15" spans="1:32" x14ac:dyDescent="0.35">
      <c r="A15" s="10">
        <v>4</v>
      </c>
      <c r="B15" s="21">
        <f t="shared" si="7"/>
        <v>6.3000000000000007</v>
      </c>
      <c r="C15" s="21">
        <v>7.2</v>
      </c>
      <c r="D15" s="21">
        <f t="shared" si="8"/>
        <v>0.16</v>
      </c>
      <c r="E15" s="22">
        <f t="shared" si="9"/>
        <v>0.83217298735089629</v>
      </c>
      <c r="F15" s="22">
        <f t="shared" si="0"/>
        <v>0.58449549056698447</v>
      </c>
      <c r="G15" s="22">
        <f t="shared" si="10"/>
        <v>33.489124753916833</v>
      </c>
      <c r="H15" s="22">
        <f t="shared" si="1"/>
        <v>46.39890688378771</v>
      </c>
      <c r="I15" s="22">
        <f t="shared" si="11"/>
        <v>7.7026561043410382</v>
      </c>
      <c r="J15" s="22">
        <f t="shared" si="2"/>
        <v>14.272026177365154</v>
      </c>
      <c r="K15" s="22">
        <f t="shared" si="12"/>
        <v>6.3348711462705606E-7</v>
      </c>
      <c r="L15" s="22">
        <f t="shared" si="13"/>
        <v>0.99999959670957739</v>
      </c>
      <c r="M15" s="22">
        <f t="shared" si="14"/>
        <v>0.51079824747618263</v>
      </c>
      <c r="N15" s="22">
        <f t="shared" si="3"/>
        <v>0.82725993199701642</v>
      </c>
      <c r="O15" s="22">
        <f t="shared" si="4"/>
        <v>0.63635405047935267</v>
      </c>
      <c r="P15" s="22">
        <f t="shared" si="15"/>
        <v>1.2999994757224507</v>
      </c>
      <c r="Q15" s="22">
        <f t="shared" si="16"/>
        <v>1.1250189267368751</v>
      </c>
      <c r="R15" s="22">
        <f t="shared" si="17"/>
        <v>0.65559671396557218</v>
      </c>
      <c r="S15" s="22">
        <f t="shared" si="18"/>
        <v>2.1192414831958257</v>
      </c>
      <c r="T15" s="22">
        <f t="shared" si="19"/>
        <v>3.1192414831958257</v>
      </c>
      <c r="U15" s="22">
        <f t="shared" si="20"/>
        <v>0.32059076073053755</v>
      </c>
      <c r="V15" s="22">
        <f t="shared" si="21"/>
        <v>5.4966706826282872</v>
      </c>
      <c r="W15" s="22">
        <f t="shared" si="22"/>
        <v>4.4966706826282872</v>
      </c>
      <c r="X15" s="22">
        <f t="shared" si="29"/>
        <v>0.22238675468569197</v>
      </c>
      <c r="Y15" s="22">
        <f t="shared" si="23"/>
        <v>12.016114866137336</v>
      </c>
      <c r="Z15" s="22">
        <f t="shared" si="24"/>
        <v>9.1720247301377427</v>
      </c>
      <c r="AA15" s="22">
        <f t="shared" si="25"/>
        <v>15.116648243789529</v>
      </c>
      <c r="AB15" s="22">
        <f t="shared" si="5"/>
        <v>137.10783247587904</v>
      </c>
      <c r="AC15" s="22">
        <f t="shared" si="26"/>
        <v>2272.647787934231</v>
      </c>
      <c r="AD15" s="22">
        <f t="shared" si="27"/>
        <v>188.39731030661079</v>
      </c>
      <c r="AE15" s="22">
        <f t="shared" si="28"/>
        <v>2084.2504776276201</v>
      </c>
      <c r="AF15" s="22">
        <f t="shared" si="6"/>
        <v>13130.778009054007</v>
      </c>
    </row>
    <row r="16" spans="1:32" x14ac:dyDescent="0.35">
      <c r="A16" s="10">
        <v>5</v>
      </c>
      <c r="B16" s="21">
        <f t="shared" si="7"/>
        <v>8.1</v>
      </c>
      <c r="C16" s="21">
        <v>9</v>
      </c>
      <c r="D16" s="21">
        <f t="shared" si="8"/>
        <v>0.2</v>
      </c>
      <c r="E16" s="22">
        <f t="shared" si="9"/>
        <v>1.0402162341886205</v>
      </c>
      <c r="F16" s="22">
        <f t="shared" si="0"/>
        <v>0.51045930994941302</v>
      </c>
      <c r="G16" s="22">
        <f t="shared" si="10"/>
        <v>29.247164073261718</v>
      </c>
      <c r="H16" s="22">
        <f t="shared" si="1"/>
        <v>57.998633604734636</v>
      </c>
      <c r="I16" s="22">
        <f t="shared" si="11"/>
        <v>7.3936547383963402</v>
      </c>
      <c r="J16" s="22">
        <f t="shared" si="2"/>
        <v>12.28053517980233</v>
      </c>
      <c r="K16" s="22">
        <f t="shared" si="12"/>
        <v>4.6412112533952533E-6</v>
      </c>
      <c r="L16" s="22">
        <f t="shared" si="13"/>
        <v>0.99999704531314837</v>
      </c>
      <c r="M16" s="22">
        <f t="shared" si="14"/>
        <v>0.39224556637686397</v>
      </c>
      <c r="N16" s="22">
        <f t="shared" si="3"/>
        <v>0.71194087379484661</v>
      </c>
      <c r="O16" s="22">
        <f t="shared" si="4"/>
        <v>0.54764844412569313</v>
      </c>
      <c r="P16" s="22">
        <f t="shared" si="15"/>
        <v>1.2999961589070925</v>
      </c>
      <c r="Q16" s="22">
        <f t="shared" si="16"/>
        <v>1.17042767288981</v>
      </c>
      <c r="R16" s="22">
        <f t="shared" si="17"/>
        <v>0.57058310149086855</v>
      </c>
      <c r="S16" s="22">
        <f t="shared" si="18"/>
        <v>2.0798116039682242</v>
      </c>
      <c r="T16" s="22">
        <f t="shared" si="19"/>
        <v>3.0798116039682242</v>
      </c>
      <c r="U16" s="22">
        <f t="shared" si="20"/>
        <v>0.32469518548197451</v>
      </c>
      <c r="V16" s="22">
        <f t="shared" si="21"/>
        <v>7.6188812034374473</v>
      </c>
      <c r="W16" s="22">
        <f t="shared" si="22"/>
        <v>6.6188812034374473</v>
      </c>
      <c r="X16" s="22">
        <f t="shared" si="29"/>
        <v>0.15108293520673258</v>
      </c>
      <c r="Y16" s="22">
        <f t="shared" si="23"/>
        <v>14.548108146609303</v>
      </c>
      <c r="Z16" s="22">
        <f t="shared" si="24"/>
        <v>9.1166149959933449</v>
      </c>
      <c r="AA16" s="22">
        <f t="shared" si="25"/>
        <v>17.168579429603685</v>
      </c>
      <c r="AB16" s="22">
        <f t="shared" si="5"/>
        <v>176.85607177836647</v>
      </c>
      <c r="AC16" s="22">
        <f t="shared" si="26"/>
        <v>2491.5890960009792</v>
      </c>
      <c r="AD16" s="22">
        <f t="shared" si="27"/>
        <v>244.04246962260254</v>
      </c>
      <c r="AE16" s="22">
        <f t="shared" si="28"/>
        <v>2247.5466263783765</v>
      </c>
      <c r="AF16" s="22">
        <f t="shared" si="6"/>
        <v>18205.127673664847</v>
      </c>
    </row>
    <row r="17" spans="1:41" x14ac:dyDescent="0.35">
      <c r="A17" s="10">
        <v>6</v>
      </c>
      <c r="B17" s="21">
        <f t="shared" si="7"/>
        <v>9.9</v>
      </c>
      <c r="C17" s="21">
        <v>10.8</v>
      </c>
      <c r="D17" s="21">
        <f t="shared" si="8"/>
        <v>0.24000000000000002</v>
      </c>
      <c r="E17" s="22">
        <f t="shared" si="9"/>
        <v>1.2482594810263445</v>
      </c>
      <c r="F17" s="22">
        <f t="shared" si="0"/>
        <v>0.45028049747461907</v>
      </c>
      <c r="G17" s="22">
        <f t="shared" si="10"/>
        <v>25.799172102346795</v>
      </c>
      <c r="H17" s="22">
        <f t="shared" si="1"/>
        <v>69.598360325681568</v>
      </c>
      <c r="I17" s="22">
        <f t="shared" si="11"/>
        <v>6.9372123758255366</v>
      </c>
      <c r="J17" s="22">
        <f t="shared" si="2"/>
        <v>10.914068389317329</v>
      </c>
      <c r="K17" s="22">
        <f t="shared" si="12"/>
        <v>1.8200374460920529E-5</v>
      </c>
      <c r="L17" s="22">
        <f t="shared" si="13"/>
        <v>0.99998841328175303</v>
      </c>
      <c r="M17" s="22">
        <f t="shared" si="14"/>
        <v>0.3066921224696959</v>
      </c>
      <c r="N17" s="22">
        <f t="shared" si="3"/>
        <v>0.6215886007555198</v>
      </c>
      <c r="O17" s="22">
        <f t="shared" si="4"/>
        <v>0.47815061770073281</v>
      </c>
      <c r="P17" s="22">
        <f t="shared" si="15"/>
        <v>1.2999849372662793</v>
      </c>
      <c r="Q17" s="22">
        <f t="shared" si="16"/>
        <v>1.2026151555698898</v>
      </c>
      <c r="R17" s="22">
        <f t="shared" si="17"/>
        <v>0.49915290714651972</v>
      </c>
      <c r="S17" s="22">
        <f t="shared" si="18"/>
        <v>2.0541849507921173</v>
      </c>
      <c r="T17" s="22">
        <f t="shared" si="19"/>
        <v>3.0541849507921173</v>
      </c>
      <c r="U17" s="22">
        <f t="shared" si="20"/>
        <v>0.32741959511674146</v>
      </c>
      <c r="V17" s="22">
        <f t="shared" si="21"/>
        <v>10.238233045657012</v>
      </c>
      <c r="W17" s="22">
        <f t="shared" si="22"/>
        <v>9.2382330456570116</v>
      </c>
      <c r="X17" s="22">
        <f t="shared" si="29"/>
        <v>0.10824580794377235</v>
      </c>
      <c r="Y17" s="22">
        <f t="shared" si="23"/>
        <v>17.11930692128475</v>
      </c>
      <c r="Z17" s="22">
        <f t="shared" si="24"/>
        <v>9.0798354659239902</v>
      </c>
      <c r="AA17" s="22">
        <f t="shared" si="25"/>
        <v>19.378185713667808</v>
      </c>
      <c r="AB17" s="22">
        <f t="shared" si="5"/>
        <v>225.30844893203945</v>
      </c>
      <c r="AC17" s="22">
        <f t="shared" si="26"/>
        <v>2652.9494919487352</v>
      </c>
      <c r="AD17" s="22">
        <f t="shared" si="27"/>
        <v>301.00422483650641</v>
      </c>
      <c r="AE17" s="22">
        <f t="shared" si="28"/>
        <v>2351.945267112229</v>
      </c>
      <c r="AF17" s="22">
        <f t="shared" si="6"/>
        <v>23284.258144411069</v>
      </c>
    </row>
    <row r="18" spans="1:41" s="28" customFormat="1" x14ac:dyDescent="0.35">
      <c r="A18" s="50">
        <v>7</v>
      </c>
      <c r="B18" s="21">
        <f t="shared" si="7"/>
        <v>11.7</v>
      </c>
      <c r="C18" s="51">
        <v>12.6</v>
      </c>
      <c r="D18" s="21">
        <f t="shared" si="8"/>
        <v>0.27999999999999997</v>
      </c>
      <c r="E18" s="22">
        <f t="shared" si="9"/>
        <v>1.4563027278640686</v>
      </c>
      <c r="F18" s="22">
        <f t="shared" si="0"/>
        <v>0.40114920200974918</v>
      </c>
      <c r="G18" s="22">
        <f t="shared" si="10"/>
        <v>22.98415623019951</v>
      </c>
      <c r="H18" s="22">
        <f t="shared" si="1"/>
        <v>81.198087046628487</v>
      </c>
      <c r="I18" s="22">
        <f t="shared" si="11"/>
        <v>6.446083453192557</v>
      </c>
      <c r="J18" s="22">
        <f t="shared" si="2"/>
        <v>9.8780391776064747</v>
      </c>
      <c r="K18" s="22">
        <f t="shared" si="12"/>
        <v>5.128874745997939E-5</v>
      </c>
      <c r="L18" s="22">
        <f t="shared" si="13"/>
        <v>0.99996734856925273</v>
      </c>
      <c r="M18" s="22">
        <f t="shared" si="14"/>
        <v>0.24426810599011184</v>
      </c>
      <c r="N18" s="22">
        <f t="shared" si="3"/>
        <v>0.54971178978408919</v>
      </c>
      <c r="O18" s="22">
        <f t="shared" si="4"/>
        <v>0.42286903018969174</v>
      </c>
      <c r="P18" s="22">
        <f t="shared" si="15"/>
        <v>1.29995755314003</v>
      </c>
      <c r="Q18" s="22">
        <f t="shared" si="16"/>
        <v>1.2256529142793717</v>
      </c>
      <c r="R18" s="22">
        <f t="shared" si="17"/>
        <v>0.43947761454287693</v>
      </c>
      <c r="S18" s="22">
        <f t="shared" si="18"/>
        <v>2.0370491287917107</v>
      </c>
      <c r="T18" s="22">
        <f t="shared" si="19"/>
        <v>3.0370491287917107</v>
      </c>
      <c r="U18" s="22">
        <f t="shared" si="20"/>
        <v>0.32926698172902119</v>
      </c>
      <c r="V18" s="22">
        <f t="shared" si="21"/>
        <v>13.39412374503816</v>
      </c>
      <c r="W18" s="22">
        <f t="shared" si="22"/>
        <v>12.39412374503816</v>
      </c>
      <c r="X18" s="22">
        <f t="shared" si="29"/>
        <v>8.0683396468454502E-2</v>
      </c>
      <c r="Y18" s="22">
        <f t="shared" si="23"/>
        <v>19.728734448581442</v>
      </c>
      <c r="Z18" s="22">
        <f t="shared" si="24"/>
        <v>9.0548957466582127</v>
      </c>
      <c r="AA18" s="22">
        <f t="shared" si="25"/>
        <v>21.707466455703511</v>
      </c>
      <c r="AB18" s="22">
        <f t="shared" si="5"/>
        <v>282.72845995529588</v>
      </c>
      <c r="AC18" s="22">
        <f t="shared" si="26"/>
        <v>2775.3058914126473</v>
      </c>
      <c r="AD18" s="22">
        <f t="shared" si="27"/>
        <v>358.88332152263632</v>
      </c>
      <c r="AE18" s="22">
        <f t="shared" si="28"/>
        <v>2416.4225698900109</v>
      </c>
      <c r="AF18" s="22">
        <f t="shared" si="6"/>
        <v>28272.144067713125</v>
      </c>
      <c r="AG18"/>
      <c r="AH18"/>
      <c r="AI18"/>
      <c r="AJ18"/>
      <c r="AK18"/>
      <c r="AL18"/>
      <c r="AM18"/>
      <c r="AN18"/>
      <c r="AO18"/>
    </row>
    <row r="19" spans="1:41" x14ac:dyDescent="0.35">
      <c r="A19" s="50">
        <v>8</v>
      </c>
      <c r="B19" s="21">
        <f t="shared" si="7"/>
        <v>13.5</v>
      </c>
      <c r="C19" s="21">
        <v>14.4</v>
      </c>
      <c r="D19" s="21">
        <f t="shared" si="8"/>
        <v>0.32</v>
      </c>
      <c r="E19" s="22">
        <f t="shared" si="9"/>
        <v>1.6643459747017926</v>
      </c>
      <c r="F19" s="22">
        <f t="shared" si="0"/>
        <v>0.36068962039625513</v>
      </c>
      <c r="G19" s="22">
        <f t="shared" si="10"/>
        <v>20.665992962881194</v>
      </c>
      <c r="H19" s="22">
        <f t="shared" si="1"/>
        <v>92.79781376757542</v>
      </c>
      <c r="I19" s="22">
        <f t="shared" si="11"/>
        <v>5.9711991511096301</v>
      </c>
      <c r="J19" s="22">
        <f t="shared" si="2"/>
        <v>9.0318030911730816</v>
      </c>
      <c r="K19" s="22">
        <f t="shared" si="12"/>
        <v>1.1954674504293571E-4</v>
      </c>
      <c r="L19" s="22">
        <f t="shared" si="13"/>
        <v>0.99992389417820227</v>
      </c>
      <c r="M19" s="22">
        <f t="shared" si="14"/>
        <v>0.19798872105942228</v>
      </c>
      <c r="N19" s="22">
        <f t="shared" si="3"/>
        <v>0.49161258345849845</v>
      </c>
      <c r="O19" s="22">
        <f t="shared" si="4"/>
        <v>0.37819230837373247</v>
      </c>
      <c r="P19" s="22">
        <f t="shared" si="15"/>
        <v>1.2999010624316643</v>
      </c>
      <c r="Q19" s="22">
        <f t="shared" si="16"/>
        <v>1.2423732417155915</v>
      </c>
      <c r="R19" s="22">
        <f t="shared" si="17"/>
        <v>0.38952214363250581</v>
      </c>
      <c r="S19" s="22">
        <f t="shared" si="18"/>
        <v>2.0252836844835889</v>
      </c>
      <c r="T19" s="22">
        <f t="shared" si="19"/>
        <v>3.0252836844835889</v>
      </c>
      <c r="U19" s="22">
        <f t="shared" si="20"/>
        <v>0.33054751365265717</v>
      </c>
      <c r="V19" s="22">
        <f t="shared" si="21"/>
        <v>17.125576183429366</v>
      </c>
      <c r="W19" s="22">
        <f t="shared" si="22"/>
        <v>16.125576183429366</v>
      </c>
      <c r="X19" s="22">
        <f t="shared" si="29"/>
        <v>6.2013287998204956E-2</v>
      </c>
      <c r="Y19" s="22">
        <f t="shared" si="23"/>
        <v>22.37065012777029</v>
      </c>
      <c r="Z19" s="22">
        <f t="shared" si="24"/>
        <v>9.0376085656891281</v>
      </c>
      <c r="AA19" s="22">
        <f t="shared" si="25"/>
        <v>24.127253381305678</v>
      </c>
      <c r="AB19" s="22">
        <f t="shared" si="5"/>
        <v>349.27461343543575</v>
      </c>
      <c r="AC19" s="22">
        <f t="shared" si="26"/>
        <v>2870.3566530128846</v>
      </c>
      <c r="AD19" s="22">
        <f t="shared" si="27"/>
        <v>417.40196053272882</v>
      </c>
      <c r="AE19" s="22">
        <f t="shared" si="28"/>
        <v>2452.9546924801557</v>
      </c>
      <c r="AF19" s="22">
        <f t="shared" si="6"/>
        <v>33114.888348482105</v>
      </c>
    </row>
    <row r="20" spans="1:41" x14ac:dyDescent="0.35">
      <c r="A20" s="50">
        <v>9</v>
      </c>
      <c r="B20" s="21">
        <f t="shared" si="7"/>
        <v>15.3</v>
      </c>
      <c r="C20" s="21">
        <v>16.2</v>
      </c>
      <c r="D20" s="21">
        <f t="shared" si="8"/>
        <v>0.36</v>
      </c>
      <c r="E20" s="22">
        <f t="shared" si="9"/>
        <v>1.8723892215395166</v>
      </c>
      <c r="F20" s="22">
        <f t="shared" si="0"/>
        <v>0.32702407940514405</v>
      </c>
      <c r="G20" s="22">
        <f t="shared" si="10"/>
        <v>18.73709954906586</v>
      </c>
      <c r="H20" s="22">
        <f t="shared" si="1"/>
        <v>104.39754048852234</v>
      </c>
      <c r="I20" s="22">
        <f t="shared" si="11"/>
        <v>5.5328108124916699</v>
      </c>
      <c r="J20" s="22">
        <f t="shared" si="2"/>
        <v>8.301521622857674</v>
      </c>
      <c r="K20" s="22">
        <f t="shared" si="12"/>
        <v>2.4813896577743303E-4</v>
      </c>
      <c r="L20" s="22">
        <f t="shared" si="13"/>
        <v>0.99984202982647019</v>
      </c>
      <c r="M20" s="22">
        <f t="shared" si="14"/>
        <v>0.16306929444450649</v>
      </c>
      <c r="N20" s="22">
        <f t="shared" si="3"/>
        <v>0.44391839157870477</v>
      </c>
      <c r="O20" s="22">
        <f t="shared" si="4"/>
        <v>0.34152963732584685</v>
      </c>
      <c r="P20" s="22">
        <f t="shared" si="15"/>
        <v>1.2997946387744113</v>
      </c>
      <c r="Q20" s="22">
        <f t="shared" si="16"/>
        <v>1.2546794880650143</v>
      </c>
      <c r="R20" s="22">
        <f t="shared" si="17"/>
        <v>0.3474499751268027</v>
      </c>
      <c r="S20" s="22">
        <f t="shared" si="18"/>
        <v>2.017011841155314</v>
      </c>
      <c r="T20" s="22">
        <f t="shared" si="19"/>
        <v>3.017011841155314</v>
      </c>
      <c r="U20" s="22">
        <f t="shared" si="20"/>
        <v>0.33145378694207139</v>
      </c>
      <c r="V20" s="22">
        <f t="shared" si="21"/>
        <v>21.472818247583017</v>
      </c>
      <c r="W20" s="22">
        <f t="shared" si="22"/>
        <v>20.472818247583017</v>
      </c>
      <c r="X20" s="22">
        <f t="shared" si="29"/>
        <v>4.8845253638592628E-2</v>
      </c>
      <c r="Y20" s="22">
        <f t="shared" si="23"/>
        <v>25.039043486691213</v>
      </c>
      <c r="Z20" s="22">
        <f t="shared" si="24"/>
        <v>9.0253738762820355</v>
      </c>
      <c r="AA20" s="22">
        <f t="shared" si="25"/>
        <v>26.615992792587839</v>
      </c>
      <c r="AB20" s="22">
        <f t="shared" si="5"/>
        <v>425.04664340105268</v>
      </c>
      <c r="AC20" s="22">
        <f t="shared" si="26"/>
        <v>2945.7062491209231</v>
      </c>
      <c r="AD20" s="22">
        <f t="shared" si="27"/>
        <v>476.36989948732145</v>
      </c>
      <c r="AE20" s="22">
        <f t="shared" si="28"/>
        <v>2469.3363496336015</v>
      </c>
      <c r="AF20" s="22">
        <f t="shared" si="6"/>
        <v>37780.846149394107</v>
      </c>
    </row>
    <row r="21" spans="1:41" x14ac:dyDescent="0.35">
      <c r="A21" s="50">
        <v>10</v>
      </c>
      <c r="B21" s="21">
        <f t="shared" si="7"/>
        <v>17.100000000000001</v>
      </c>
      <c r="C21" s="21">
        <v>18</v>
      </c>
      <c r="D21" s="21">
        <f t="shared" si="8"/>
        <v>0.4</v>
      </c>
      <c r="E21" s="22">
        <f t="shared" si="9"/>
        <v>2.0804324683772411</v>
      </c>
      <c r="F21" s="22">
        <f t="shared" si="0"/>
        <v>0.29870919694243514</v>
      </c>
      <c r="G21" s="22">
        <f t="shared" si="10"/>
        <v>17.114776286543648</v>
      </c>
      <c r="H21" s="22">
        <f t="shared" si="1"/>
        <v>115.99726720946927</v>
      </c>
      <c r="I21" s="22">
        <f t="shared" si="11"/>
        <v>5.1366894069556084</v>
      </c>
      <c r="J21" s="22">
        <f t="shared" si="2"/>
        <v>7.6456026128032333</v>
      </c>
      <c r="K21" s="22">
        <f t="shared" si="12"/>
        <v>4.78142088770307E-4</v>
      </c>
      <c r="L21" s="22">
        <f t="shared" si="13"/>
        <v>0.99969560528068924</v>
      </c>
      <c r="M21" s="22">
        <f t="shared" si="14"/>
        <v>0.13625491837412693</v>
      </c>
      <c r="N21" s="22">
        <f t="shared" si="3"/>
        <v>0.40419559512525399</v>
      </c>
      <c r="O21" s="22">
        <f t="shared" si="4"/>
        <v>0.31101435968660629</v>
      </c>
      <c r="P21" s="22">
        <f t="shared" si="15"/>
        <v>1.2996042868648952</v>
      </c>
      <c r="Q21" s="22">
        <f t="shared" si="16"/>
        <v>1.2638313310632394</v>
      </c>
      <c r="R21" s="22">
        <f t="shared" si="17"/>
        <v>0.31173333004433962</v>
      </c>
      <c r="S21" s="22">
        <f t="shared" si="18"/>
        <v>2.0110740504298699</v>
      </c>
      <c r="T21" s="22">
        <f t="shared" si="19"/>
        <v>3.0110740504298699</v>
      </c>
      <c r="U21" s="22">
        <f t="shared" si="20"/>
        <v>0.33210740860299898</v>
      </c>
      <c r="V21" s="22">
        <f t="shared" si="21"/>
        <v>26.478447898206067</v>
      </c>
      <c r="W21" s="22">
        <f t="shared" si="22"/>
        <v>25.478447898206067</v>
      </c>
      <c r="X21" s="22">
        <f t="shared" si="29"/>
        <v>3.924885864301058E-2</v>
      </c>
      <c r="Y21" s="22">
        <f t="shared" si="23"/>
        <v>27.728766650240956</v>
      </c>
      <c r="Z21" s="22">
        <f t="shared" si="24"/>
        <v>9.0165499838595142</v>
      </c>
      <c r="AA21" s="22">
        <f t="shared" si="25"/>
        <v>29.157892131547371</v>
      </c>
      <c r="AB21" s="22">
        <f t="shared" si="5"/>
        <v>510.10960413297119</v>
      </c>
      <c r="AC21" s="22">
        <f t="shared" si="26"/>
        <v>3006.4223656719441</v>
      </c>
      <c r="AD21" s="22">
        <f t="shared" si="27"/>
        <v>535.65723051318173</v>
      </c>
      <c r="AE21" s="22">
        <f t="shared" si="28"/>
        <v>2470.7651351587624</v>
      </c>
      <c r="AF21" s="22">
        <f t="shared" si="6"/>
        <v>42250.083811214841</v>
      </c>
    </row>
    <row r="22" spans="1:41" x14ac:dyDescent="0.35">
      <c r="A22" s="10">
        <v>11</v>
      </c>
      <c r="B22" s="21">
        <f t="shared" si="7"/>
        <v>18.899999999999999</v>
      </c>
      <c r="C22" s="21">
        <v>19.8</v>
      </c>
      <c r="D22" s="21">
        <f t="shared" si="8"/>
        <v>0.44</v>
      </c>
      <c r="E22" s="22">
        <f t="shared" si="9"/>
        <v>2.2884757152149651</v>
      </c>
      <c r="F22" s="22">
        <f t="shared" si="0"/>
        <v>0.27464483436151976</v>
      </c>
      <c r="G22" s="22">
        <f t="shared" si="10"/>
        <v>15.735989873984652</v>
      </c>
      <c r="H22" s="22">
        <f t="shared" si="1"/>
        <v>127.5969939304162</v>
      </c>
      <c r="I22" s="22">
        <f t="shared" si="11"/>
        <v>4.7821335932394753</v>
      </c>
      <c r="J22" s="22">
        <f t="shared" si="2"/>
        <v>7.0392883938199091</v>
      </c>
      <c r="K22" s="22">
        <f t="shared" si="12"/>
        <v>8.7675024121506814E-4</v>
      </c>
      <c r="L22" s="22">
        <f t="shared" si="13"/>
        <v>0.99944184338950615</v>
      </c>
      <c r="M22" s="22">
        <f t="shared" si="14"/>
        <v>0.1153182121045257</v>
      </c>
      <c r="N22" s="22">
        <f t="shared" si="3"/>
        <v>0.37066629042154542</v>
      </c>
      <c r="O22" s="22">
        <f t="shared" si="4"/>
        <v>0.28528715061788751</v>
      </c>
      <c r="P22" s="22">
        <f t="shared" si="15"/>
        <v>1.2992743964063576</v>
      </c>
      <c r="Q22" s="22">
        <f t="shared" si="16"/>
        <v>1.2706488236289317</v>
      </c>
      <c r="R22" s="22">
        <f t="shared" si="17"/>
        <v>0.28114324492599269</v>
      </c>
      <c r="S22" s="22">
        <f t="shared" si="18"/>
        <v>2.0067338789892513</v>
      </c>
      <c r="T22" s="22">
        <f t="shared" si="19"/>
        <v>3.0067338789892513</v>
      </c>
      <c r="U22" s="22">
        <f t="shared" si="20"/>
        <v>0.33258680024457693</v>
      </c>
      <c r="V22" s="22">
        <f t="shared" si="21"/>
        <v>32.188466945862075</v>
      </c>
      <c r="W22" s="22">
        <f t="shared" si="22"/>
        <v>31.188466945862075</v>
      </c>
      <c r="X22" s="22">
        <f t="shared" si="29"/>
        <v>3.206313416224759E-2</v>
      </c>
      <c r="Y22" s="22">
        <f t="shared" si="23"/>
        <v>30.435676241570526</v>
      </c>
      <c r="Z22" s="22">
        <f t="shared" si="24"/>
        <v>9.0100781966982115</v>
      </c>
      <c r="AA22" s="22">
        <f t="shared" si="25"/>
        <v>31.741327908458985</v>
      </c>
      <c r="AB22" s="22">
        <f t="shared" si="5"/>
        <v>604.5071384353904</v>
      </c>
      <c r="AC22" s="22">
        <f t="shared" si="26"/>
        <v>3055.9280468482416</v>
      </c>
      <c r="AD22" s="22">
        <f t="shared" si="27"/>
        <v>595.17461320630537</v>
      </c>
      <c r="AE22" s="22">
        <f t="shared" si="28"/>
        <v>2460.7534336419362</v>
      </c>
      <c r="AF22" s="22">
        <f t="shared" si="6"/>
        <v>46508.239895832594</v>
      </c>
    </row>
    <row r="23" spans="1:41" x14ac:dyDescent="0.35">
      <c r="A23" s="10">
        <v>12</v>
      </c>
      <c r="B23" s="21">
        <f t="shared" si="7"/>
        <v>20.700000000000003</v>
      </c>
      <c r="C23" s="21">
        <v>21.6</v>
      </c>
      <c r="D23" s="21">
        <f t="shared" si="8"/>
        <v>0.48000000000000004</v>
      </c>
      <c r="E23" s="22">
        <f t="shared" si="9"/>
        <v>2.4965189620526891</v>
      </c>
      <c r="F23" s="22">
        <f t="shared" si="0"/>
        <v>0.25399139818451916</v>
      </c>
      <c r="G23" s="22">
        <f t="shared" si="10"/>
        <v>14.552635148599707</v>
      </c>
      <c r="H23" s="22">
        <f t="shared" si="1"/>
        <v>139.19672065136314</v>
      </c>
      <c r="I23" s="22">
        <f t="shared" si="11"/>
        <v>4.4658179558741429</v>
      </c>
      <c r="J23" s="22">
        <f t="shared" si="2"/>
        <v>6.4671650765524484</v>
      </c>
      <c r="K23" s="22">
        <f t="shared" si="12"/>
        <v>1.5536239005716765E-3</v>
      </c>
      <c r="L23" s="22">
        <f t="shared" si="13"/>
        <v>0.99901093190817958</v>
      </c>
      <c r="M23" s="22">
        <f t="shared" si="14"/>
        <v>9.8716250364710212E-2</v>
      </c>
      <c r="N23" s="22">
        <f t="shared" si="3"/>
        <v>0.34200943747302409</v>
      </c>
      <c r="O23" s="22">
        <f t="shared" si="4"/>
        <v>0.26334464846050137</v>
      </c>
      <c r="P23" s="22">
        <f t="shared" si="15"/>
        <v>1.2987142114806314</v>
      </c>
      <c r="Q23" s="22">
        <f t="shared" si="16"/>
        <v>1.2756417750955471</v>
      </c>
      <c r="R23" s="22">
        <f t="shared" si="17"/>
        <v>0.25470112825199553</v>
      </c>
      <c r="S23" s="22">
        <f t="shared" si="18"/>
        <v>2.0035107886480876</v>
      </c>
      <c r="T23" s="22">
        <f t="shared" si="19"/>
        <v>3.0035107886480876</v>
      </c>
      <c r="U23" s="22">
        <f t="shared" si="20"/>
        <v>0.33294370167723308</v>
      </c>
      <c r="V23" s="22">
        <f t="shared" si="21"/>
        <v>38.653457484058784</v>
      </c>
      <c r="W23" s="22">
        <f t="shared" si="22"/>
        <v>37.653457484058784</v>
      </c>
      <c r="X23" s="22">
        <f t="shared" si="29"/>
        <v>2.6557986087290035E-2</v>
      </c>
      <c r="Y23" s="22">
        <f t="shared" si="23"/>
        <v>33.156502870506429</v>
      </c>
      <c r="Z23" s="22">
        <f t="shared" si="24"/>
        <v>9.0052600273573535</v>
      </c>
      <c r="AA23" s="22">
        <f t="shared" si="25"/>
        <v>34.357654034613908</v>
      </c>
      <c r="AB23" s="22">
        <f t="shared" si="5"/>
        <v>708.26903445733274</v>
      </c>
      <c r="AC23" s="22">
        <f t="shared" si="26"/>
        <v>3096.5174857184297</v>
      </c>
      <c r="AD23" s="22">
        <f t="shared" si="27"/>
        <v>654.85970892241062</v>
      </c>
      <c r="AE23" s="22">
        <f t="shared" si="28"/>
        <v>2441.6577767960189</v>
      </c>
      <c r="AF23" s="22">
        <f t="shared" si="6"/>
        <v>50542.315979677594</v>
      </c>
    </row>
    <row r="24" spans="1:41" x14ac:dyDescent="0.35">
      <c r="A24" s="10">
        <v>13</v>
      </c>
      <c r="B24" s="21">
        <f t="shared" si="7"/>
        <v>22.5</v>
      </c>
      <c r="C24" s="21">
        <v>23.4</v>
      </c>
      <c r="D24" s="21">
        <f t="shared" si="8"/>
        <v>0.52</v>
      </c>
      <c r="E24" s="22">
        <f t="shared" si="9"/>
        <v>2.7045622088904131</v>
      </c>
      <c r="F24" s="22">
        <f t="shared" si="0"/>
        <v>0.23610409453851133</v>
      </c>
      <c r="G24" s="22">
        <f t="shared" si="10"/>
        <v>13.527768142814489</v>
      </c>
      <c r="H24" s="22">
        <f t="shared" si="1"/>
        <v>150.79644737231004</v>
      </c>
      <c r="I24" s="22">
        <f t="shared" si="11"/>
        <v>4.1835959103889007</v>
      </c>
      <c r="J24" s="22">
        <f t="shared" si="2"/>
        <v>5.919269675695209</v>
      </c>
      <c r="K24" s="22">
        <f t="shared" si="12"/>
        <v>2.6871619601880701E-3</v>
      </c>
      <c r="L24" s="22">
        <f t="shared" si="13"/>
        <v>0.99828929750580142</v>
      </c>
      <c r="M24" s="22">
        <f t="shared" si="14"/>
        <v>8.5364098594542526E-2</v>
      </c>
      <c r="N24" s="22">
        <f t="shared" si="3"/>
        <v>0.31722244433731128</v>
      </c>
      <c r="O24" s="22">
        <f t="shared" si="4"/>
        <v>0.24443542115950287</v>
      </c>
      <c r="P24" s="22">
        <f t="shared" si="15"/>
        <v>1.2977760867575419</v>
      </c>
      <c r="Q24" s="22">
        <f t="shared" si="16"/>
        <v>1.2790812816097084</v>
      </c>
      <c r="R24" s="22">
        <f t="shared" si="17"/>
        <v>0.23162436485694826</v>
      </c>
      <c r="S24" s="22">
        <f t="shared" si="18"/>
        <v>2.0010827907678008</v>
      </c>
      <c r="T24" s="22">
        <f t="shared" si="19"/>
        <v>3.0010827907678008</v>
      </c>
      <c r="U24" s="22">
        <f t="shared" si="20"/>
        <v>0.33321306665590478</v>
      </c>
      <c r="V24" s="22">
        <f t="shared" si="21"/>
        <v>45.93025567695161</v>
      </c>
      <c r="W24" s="22">
        <f t="shared" si="22"/>
        <v>44.93025567695161</v>
      </c>
      <c r="X24" s="22">
        <f t="shared" si="29"/>
        <v>2.225671732629337E-2</v>
      </c>
      <c r="Y24" s="22">
        <f t="shared" si="23"/>
        <v>35.888671109402253</v>
      </c>
      <c r="Z24" s="22">
        <f t="shared" si="24"/>
        <v>9.001623600145285</v>
      </c>
      <c r="AA24" s="22">
        <f t="shared" si="25"/>
        <v>37.000350558306017</v>
      </c>
      <c r="AB24" s="22">
        <f t="shared" si="5"/>
        <v>821.41556486252182</v>
      </c>
      <c r="AC24" s="22">
        <f t="shared" si="26"/>
        <v>3129.6423234730987</v>
      </c>
      <c r="AD24" s="22">
        <f t="shared" si="27"/>
        <v>714.66805939724679</v>
      </c>
      <c r="AE24" s="22">
        <f t="shared" si="28"/>
        <v>2414.9742640758518</v>
      </c>
      <c r="AF24" s="22">
        <f t="shared" si="6"/>
        <v>54336.920941706667</v>
      </c>
    </row>
    <row r="25" spans="1:41" x14ac:dyDescent="0.35">
      <c r="A25" s="10">
        <v>14</v>
      </c>
      <c r="B25" s="21">
        <f t="shared" si="7"/>
        <v>24.299999999999997</v>
      </c>
      <c r="C25" s="21">
        <v>25.2</v>
      </c>
      <c r="D25" s="21">
        <f t="shared" si="8"/>
        <v>0.55999999999999994</v>
      </c>
      <c r="E25" s="22">
        <f t="shared" si="9"/>
        <v>2.9126054557281371</v>
      </c>
      <c r="F25" s="22">
        <f t="shared" si="0"/>
        <v>0.22048338089138422</v>
      </c>
      <c r="G25" s="22">
        <f t="shared" si="10"/>
        <v>12.632767177851699</v>
      </c>
      <c r="H25" s="22">
        <f t="shared" si="1"/>
        <v>162.39617409325697</v>
      </c>
      <c r="I25" s="22">
        <f t="shared" si="11"/>
        <v>3.9313113815946172</v>
      </c>
      <c r="J25" s="22">
        <f t="shared" si="2"/>
        <v>5.3889541536765764</v>
      </c>
      <c r="K25" s="22">
        <f t="shared" si="12"/>
        <v>4.566746954576574E-3</v>
      </c>
      <c r="L25" s="22">
        <f t="shared" si="13"/>
        <v>0.99709270848791054</v>
      </c>
      <c r="M25" s="22">
        <f t="shared" si="14"/>
        <v>7.4486623715977585E-2</v>
      </c>
      <c r="N25" s="22">
        <f t="shared" si="3"/>
        <v>0.29552338242315412</v>
      </c>
      <c r="O25" s="22">
        <f t="shared" si="4"/>
        <v>0.22798850784074048</v>
      </c>
      <c r="P25" s="22">
        <f t="shared" si="15"/>
        <v>1.2962205210342863</v>
      </c>
      <c r="Q25" s="22">
        <f t="shared" si="16"/>
        <v>1.2810253149714479</v>
      </c>
      <c r="R25" s="22">
        <f t="shared" si="17"/>
        <v>0.2112765523021892</v>
      </c>
      <c r="S25" s="22">
        <f t="shared" si="18"/>
        <v>1.9992282024571946</v>
      </c>
      <c r="T25" s="22">
        <f t="shared" si="19"/>
        <v>2.9992282024571946</v>
      </c>
      <c r="U25" s="22">
        <f t="shared" si="20"/>
        <v>0.33341911068344993</v>
      </c>
      <c r="V25" s="22">
        <f t="shared" si="21"/>
        <v>54.084715070407604</v>
      </c>
      <c r="W25" s="22">
        <f t="shared" si="22"/>
        <v>53.084715070407604</v>
      </c>
      <c r="X25" s="22">
        <f t="shared" si="29"/>
        <v>1.8837814212126307E-2</v>
      </c>
      <c r="Y25" s="22">
        <f t="shared" si="23"/>
        <v>38.630134072010236</v>
      </c>
      <c r="Z25" s="22">
        <f t="shared" si="24"/>
        <v>8.998842005773426</v>
      </c>
      <c r="AA25" s="22">
        <f t="shared" si="25"/>
        <v>39.664422545479702</v>
      </c>
      <c r="AB25" s="22">
        <f t="shared" si="5"/>
        <v>943.95984951981518</v>
      </c>
      <c r="AC25" s="22">
        <f t="shared" si="26"/>
        <v>3156.0402490406432</v>
      </c>
      <c r="AD25" s="22">
        <f t="shared" si="27"/>
        <v>774.5669032509694</v>
      </c>
      <c r="AE25" s="22">
        <f t="shared" si="28"/>
        <v>2381.4733457896737</v>
      </c>
      <c r="AF25" s="22">
        <f t="shared" si="6"/>
        <v>57869.802302689066</v>
      </c>
    </row>
    <row r="26" spans="1:41" x14ac:dyDescent="0.35">
      <c r="A26" s="10">
        <v>15</v>
      </c>
      <c r="B26" s="21">
        <f t="shared" si="7"/>
        <v>26.1</v>
      </c>
      <c r="C26" s="21">
        <v>27</v>
      </c>
      <c r="D26" s="21">
        <f t="shared" si="8"/>
        <v>0.6</v>
      </c>
      <c r="E26" s="22">
        <f t="shared" si="9"/>
        <v>3.1206487025658611</v>
      </c>
      <c r="F26" s="22">
        <f t="shared" si="0"/>
        <v>0.20673842670580198</v>
      </c>
      <c r="G26" s="22">
        <f t="shared" si="10"/>
        <v>11.84523931341716</v>
      </c>
      <c r="H26" s="22">
        <f t="shared" si="1"/>
        <v>173.99590081420391</v>
      </c>
      <c r="I26" s="22">
        <f t="shared" si="11"/>
        <v>3.7051350587663063</v>
      </c>
      <c r="J26" s="22">
        <f t="shared" si="2"/>
        <v>4.8716591312230397</v>
      </c>
      <c r="K26" s="22">
        <f t="shared" si="12"/>
        <v>7.6606447234214082E-3</v>
      </c>
      <c r="L26" s="22">
        <f t="shared" si="13"/>
        <v>0.99512303439801741</v>
      </c>
      <c r="M26" s="22">
        <f t="shared" si="14"/>
        <v>6.5521173269526431E-2</v>
      </c>
      <c r="N26" s="22">
        <f t="shared" si="3"/>
        <v>0.27627918007742874</v>
      </c>
      <c r="O26" s="22">
        <f t="shared" si="4"/>
        <v>0.21356399044864688</v>
      </c>
      <c r="P26" s="22">
        <f t="shared" si="15"/>
        <v>1.2936599447174228</v>
      </c>
      <c r="Q26" s="22">
        <f t="shared" si="16"/>
        <v>1.2813021534790752</v>
      </c>
      <c r="R26" s="22">
        <f t="shared" si="17"/>
        <v>0.19312390855658013</v>
      </c>
      <c r="S26" s="22">
        <f t="shared" si="18"/>
        <v>1.9977896660305625</v>
      </c>
      <c r="T26" s="22">
        <f t="shared" si="19"/>
        <v>2.9977896660305623</v>
      </c>
      <c r="U26" s="22">
        <f t="shared" si="20"/>
        <v>0.33357910707728922</v>
      </c>
      <c r="V26" s="22">
        <f t="shared" si="21"/>
        <v>63.196678159178227</v>
      </c>
      <c r="W26" s="22">
        <f t="shared" si="22"/>
        <v>62.196678159178227</v>
      </c>
      <c r="X26" s="22">
        <f t="shared" si="29"/>
        <v>1.6078029078027734E-2</v>
      </c>
      <c r="Y26" s="22">
        <f t="shared" si="23"/>
        <v>41.379234710081725</v>
      </c>
      <c r="Z26" s="22">
        <f t="shared" si="24"/>
        <v>8.9966820544565955</v>
      </c>
      <c r="AA26" s="22">
        <f t="shared" si="25"/>
        <v>42.34597210102767</v>
      </c>
      <c r="AB26" s="22">
        <f t="shared" si="5"/>
        <v>1075.9088119086082</v>
      </c>
      <c r="AC26" s="22">
        <f t="shared" si="26"/>
        <v>3175.7331379136672</v>
      </c>
      <c r="AD26" s="22">
        <f t="shared" si="27"/>
        <v>834.53080816665249</v>
      </c>
      <c r="AE26" s="22">
        <f t="shared" si="28"/>
        <v>2341.2023297470146</v>
      </c>
      <c r="AF26" s="22">
        <f t="shared" si="6"/>
        <v>61105.380806397086</v>
      </c>
    </row>
    <row r="27" spans="1:41" x14ac:dyDescent="0.35">
      <c r="A27" s="10">
        <v>16</v>
      </c>
      <c r="B27" s="21">
        <f t="shared" si="7"/>
        <v>27.9</v>
      </c>
      <c r="C27" s="21">
        <v>28.8</v>
      </c>
      <c r="D27" s="21">
        <f t="shared" si="8"/>
        <v>0.64</v>
      </c>
      <c r="E27" s="22">
        <f t="shared" si="9"/>
        <v>3.3286919494035851</v>
      </c>
      <c r="F27" s="22">
        <f t="shared" si="0"/>
        <v>0.19456034545367465</v>
      </c>
      <c r="G27" s="22">
        <f t="shared" si="10"/>
        <v>11.147486655102872</v>
      </c>
      <c r="H27" s="22">
        <f t="shared" si="1"/>
        <v>185.59562753515084</v>
      </c>
      <c r="I27" s="22">
        <f t="shared" si="11"/>
        <v>3.5016763069644696</v>
      </c>
      <c r="J27" s="22">
        <f t="shared" si="2"/>
        <v>4.3641821323526839</v>
      </c>
      <c r="K27" s="22">
        <f t="shared" si="12"/>
        <v>1.2725058333987935E-2</v>
      </c>
      <c r="L27" s="22">
        <f t="shared" si="13"/>
        <v>0.99189875761489343</v>
      </c>
      <c r="M27" s="22">
        <f t="shared" si="14"/>
        <v>5.8053030558455045E-2</v>
      </c>
      <c r="N27" s="22">
        <f t="shared" si="3"/>
        <v>0.25894901987746766</v>
      </c>
      <c r="O27" s="22">
        <f t="shared" si="4"/>
        <v>0.20081843254937817</v>
      </c>
      <c r="P27" s="22">
        <f t="shared" si="15"/>
        <v>1.2894683848993596</v>
      </c>
      <c r="Q27" s="22">
        <f t="shared" si="16"/>
        <v>1.2794464863141242</v>
      </c>
      <c r="R27" s="22">
        <f t="shared" si="17"/>
        <v>0.17669579596981039</v>
      </c>
      <c r="S27" s="22">
        <f t="shared" si="18"/>
        <v>1.9966509691261027</v>
      </c>
      <c r="T27" s="22">
        <f t="shared" si="19"/>
        <v>2.9966509691261027</v>
      </c>
      <c r="U27" s="22">
        <f t="shared" si="20"/>
        <v>0.33370586374682953</v>
      </c>
      <c r="V27" s="22">
        <f t="shared" si="21"/>
        <v>73.369392461072735</v>
      </c>
      <c r="W27" s="22">
        <f t="shared" si="22"/>
        <v>72.369392461072735</v>
      </c>
      <c r="X27" s="22">
        <f t="shared" si="29"/>
        <v>1.3817996337856461E-2</v>
      </c>
      <c r="Y27" s="22">
        <f t="shared" si="23"/>
        <v>44.134588917989646</v>
      </c>
      <c r="Z27" s="22">
        <f t="shared" si="24"/>
        <v>8.9949708394178014</v>
      </c>
      <c r="AA27" s="22">
        <f t="shared" si="25"/>
        <v>45.041885388623676</v>
      </c>
      <c r="AB27" s="22">
        <f t="shared" si="5"/>
        <v>1217.2628636171464</v>
      </c>
      <c r="AC27" s="22">
        <f t="shared" si="26"/>
        <v>3187.8893778203483</v>
      </c>
      <c r="AD27" s="22">
        <f t="shared" si="27"/>
        <v>894.53828855547886</v>
      </c>
      <c r="AE27" s="22">
        <f t="shared" si="28"/>
        <v>2293.3510892648692</v>
      </c>
      <c r="AF27" s="22">
        <f t="shared" si="6"/>
        <v>63984.49539048985</v>
      </c>
    </row>
    <row r="28" spans="1:41" x14ac:dyDescent="0.35">
      <c r="A28" s="50">
        <v>17</v>
      </c>
      <c r="B28" s="21">
        <f t="shared" si="7"/>
        <v>29.700000000000003</v>
      </c>
      <c r="C28" s="21">
        <v>30.6</v>
      </c>
      <c r="D28" s="21">
        <f t="shared" si="8"/>
        <v>0.68</v>
      </c>
      <c r="E28" s="22">
        <f t="shared" si="9"/>
        <v>3.5367351962413096</v>
      </c>
      <c r="F28" s="22">
        <f t="shared" si="0"/>
        <v>0.18370256182372233</v>
      </c>
      <c r="G28" s="22">
        <f t="shared" si="10"/>
        <v>10.525381478240369</v>
      </c>
      <c r="H28" s="22">
        <f t="shared" si="1"/>
        <v>197.19535425609777</v>
      </c>
      <c r="I28" s="22">
        <f t="shared" si="11"/>
        <v>3.3179927606040018</v>
      </c>
      <c r="J28" s="22">
        <f t="shared" si="2"/>
        <v>3.8642260874627383</v>
      </c>
      <c r="K28" s="22">
        <f t="shared" si="12"/>
        <v>2.0979152184936008E-2</v>
      </c>
      <c r="L28" s="22">
        <f t="shared" si="13"/>
        <v>0.98664327701845689</v>
      </c>
      <c r="M28" s="22">
        <f t="shared" si="14"/>
        <v>5.177205382286771E-2</v>
      </c>
      <c r="N28" s="22">
        <f t="shared" si="3"/>
        <v>0.24303444236160565</v>
      </c>
      <c r="O28" s="22">
        <f t="shared" si="4"/>
        <v>0.18948040837244998</v>
      </c>
      <c r="P28" s="22">
        <f t="shared" si="15"/>
        <v>1.2826362601239902</v>
      </c>
      <c r="Q28" s="22">
        <f t="shared" si="16"/>
        <v>1.274572388161793</v>
      </c>
      <c r="R28" s="22">
        <f t="shared" si="17"/>
        <v>0.16154566883825774</v>
      </c>
      <c r="S28" s="22">
        <f t="shared" si="18"/>
        <v>1.99572108417544</v>
      </c>
      <c r="T28" s="22">
        <f t="shared" si="19"/>
        <v>2.99572108417544</v>
      </c>
      <c r="U28" s="22">
        <f t="shared" si="20"/>
        <v>0.33380944750911146</v>
      </c>
      <c r="V28" s="22">
        <f t="shared" si="21"/>
        <v>84.748038979003098</v>
      </c>
      <c r="W28" s="22">
        <f t="shared" si="22"/>
        <v>83.748038979003098</v>
      </c>
      <c r="X28" s="22">
        <f t="shared" si="29"/>
        <v>1.1940578098201381E-2</v>
      </c>
      <c r="Y28" s="22">
        <f t="shared" si="23"/>
        <v>46.894979123921111</v>
      </c>
      <c r="Z28" s="22">
        <f t="shared" si="24"/>
        <v>8.9935724586269945</v>
      </c>
      <c r="AA28" s="22">
        <f t="shared" si="25"/>
        <v>47.749590706115704</v>
      </c>
      <c r="AB28" s="22">
        <f t="shared" si="5"/>
        <v>1368.0140475609426</v>
      </c>
      <c r="AC28" s="22">
        <f t="shared" si="26"/>
        <v>3190.513272698568</v>
      </c>
      <c r="AD28" s="22">
        <f t="shared" si="27"/>
        <v>954.5687162045208</v>
      </c>
      <c r="AE28" s="22">
        <f t="shared" si="28"/>
        <v>2235.944556494047</v>
      </c>
      <c r="AF28" s="22">
        <f t="shared" si="6"/>
        <v>66407.553327873204</v>
      </c>
    </row>
    <row r="29" spans="1:41" x14ac:dyDescent="0.35">
      <c r="A29" s="50">
        <v>18</v>
      </c>
      <c r="B29" s="21">
        <f t="shared" si="7"/>
        <v>31.5</v>
      </c>
      <c r="C29" s="21">
        <v>32.4</v>
      </c>
      <c r="D29" s="21">
        <f t="shared" si="8"/>
        <v>0.72</v>
      </c>
      <c r="E29" s="22">
        <f t="shared" si="9"/>
        <v>3.7447784430790332</v>
      </c>
      <c r="F29" s="22">
        <f t="shared" si="0"/>
        <v>0.17396633489890731</v>
      </c>
      <c r="G29" s="22">
        <f t="shared" si="10"/>
        <v>9.9675367670668322</v>
      </c>
      <c r="H29" s="22">
        <f t="shared" si="1"/>
        <v>208.79508097704468</v>
      </c>
      <c r="I29" s="22">
        <f t="shared" si="11"/>
        <v>3.1515566466091349</v>
      </c>
      <c r="J29" s="22">
        <f t="shared" si="2"/>
        <v>3.3701124819580688</v>
      </c>
      <c r="K29" s="22">
        <f t="shared" si="12"/>
        <v>3.4385769347271014E-2</v>
      </c>
      <c r="L29" s="22">
        <f t="shared" si="13"/>
        <v>0.97810502319786896</v>
      </c>
      <c r="M29" s="22">
        <f t="shared" si="14"/>
        <v>4.6443131364996428E-2</v>
      </c>
      <c r="N29" s="22">
        <f t="shared" si="3"/>
        <v>0.22802839253517787</v>
      </c>
      <c r="O29" s="22">
        <f t="shared" si="4"/>
        <v>0.1793329464997605</v>
      </c>
      <c r="P29" s="22">
        <f t="shared" si="15"/>
        <v>1.2715365301572312</v>
      </c>
      <c r="Q29" s="22">
        <f t="shared" si="16"/>
        <v>1.265152607653399</v>
      </c>
      <c r="R29" s="22">
        <f t="shared" si="17"/>
        <v>0.14720742804660339</v>
      </c>
      <c r="S29" s="22">
        <f t="shared" si="18"/>
        <v>1.994921758973778</v>
      </c>
      <c r="T29" s="22">
        <f t="shared" si="19"/>
        <v>2.9949217589737778</v>
      </c>
      <c r="U29" s="22">
        <f t="shared" si="20"/>
        <v>0.33389853908659506</v>
      </c>
      <c r="V29" s="22">
        <f t="shared" si="21"/>
        <v>97.557673503900077</v>
      </c>
      <c r="W29" s="22">
        <f t="shared" si="22"/>
        <v>96.557673503900077</v>
      </c>
      <c r="X29" s="22">
        <f t="shared" si="29"/>
        <v>1.0356504705548946E-2</v>
      </c>
      <c r="Y29" s="22">
        <f t="shared" si="23"/>
        <v>49.659241519729008</v>
      </c>
      <c r="Z29" s="22">
        <f t="shared" si="24"/>
        <v>8.9923697223309667</v>
      </c>
      <c r="AA29" s="22">
        <f t="shared" si="25"/>
        <v>50.46685032313659</v>
      </c>
      <c r="AB29" s="22">
        <f t="shared" si="5"/>
        <v>1528.141788922723</v>
      </c>
      <c r="AC29" s="22">
        <f t="shared" si="26"/>
        <v>3179.8838999240197</v>
      </c>
      <c r="AD29" s="22">
        <f t="shared" si="27"/>
        <v>1014.5987659352159</v>
      </c>
      <c r="AE29" s="22">
        <f t="shared" si="28"/>
        <v>2165.2851339888039</v>
      </c>
      <c r="AF29" s="22">
        <f t="shared" si="6"/>
        <v>68206.481720647324</v>
      </c>
    </row>
    <row r="30" spans="1:41" x14ac:dyDescent="0.35">
      <c r="A30" s="50">
        <v>19</v>
      </c>
      <c r="B30" s="21">
        <f t="shared" si="7"/>
        <v>33.299999999999997</v>
      </c>
      <c r="C30" s="21">
        <v>34.200000000000003</v>
      </c>
      <c r="D30" s="21">
        <f t="shared" si="8"/>
        <v>0.76</v>
      </c>
      <c r="E30" s="22">
        <f t="shared" si="9"/>
        <v>3.9528216899167576</v>
      </c>
      <c r="F30" s="22">
        <f t="shared" si="0"/>
        <v>0.16519000207452064</v>
      </c>
      <c r="G30" s="22">
        <f t="shared" si="10"/>
        <v>9.4646899366273463</v>
      </c>
      <c r="H30" s="22">
        <f t="shared" si="1"/>
        <v>220.39480769799164</v>
      </c>
      <c r="I30" s="22">
        <f t="shared" si="11"/>
        <v>3.0002060294751196</v>
      </c>
      <c r="J30" s="22">
        <f t="shared" si="2"/>
        <v>2.8805943319568446</v>
      </c>
      <c r="K30" s="22">
        <f t="shared" si="12"/>
        <v>5.6101410062982145E-2</v>
      </c>
      <c r="L30" s="22">
        <f t="shared" si="13"/>
        <v>0.96426597166264183</v>
      </c>
      <c r="M30" s="22">
        <f t="shared" si="14"/>
        <v>4.1885756130269639E-2</v>
      </c>
      <c r="N30" s="22">
        <f t="shared" si="3"/>
        <v>0.21335445089204697</v>
      </c>
      <c r="O30" s="22">
        <f t="shared" si="4"/>
        <v>0.17020076742469162</v>
      </c>
      <c r="P30" s="22">
        <f t="shared" si="15"/>
        <v>1.2535457631614351</v>
      </c>
      <c r="Q30" s="22">
        <f t="shared" si="16"/>
        <v>1.2486499481852347</v>
      </c>
      <c r="R30" s="22">
        <f t="shared" si="17"/>
        <v>0.13314010378918653</v>
      </c>
      <c r="S30" s="22">
        <f t="shared" si="18"/>
        <v>1.9941755281360545</v>
      </c>
      <c r="T30" s="22">
        <f t="shared" si="19"/>
        <v>2.9941755281360543</v>
      </c>
      <c r="U30" s="22">
        <f t="shared" si="20"/>
        <v>0.33398175577987033</v>
      </c>
      <c r="V30" s="22">
        <f t="shared" si="21"/>
        <v>112.18525639907035</v>
      </c>
      <c r="W30" s="22">
        <f t="shared" si="22"/>
        <v>111.18525639907035</v>
      </c>
      <c r="X30" s="22">
        <f t="shared" si="29"/>
        <v>8.9939982366975171E-3</v>
      </c>
      <c r="Y30" s="22">
        <f t="shared" si="23"/>
        <v>52.426118261376608</v>
      </c>
      <c r="Z30" s="22">
        <f t="shared" si="24"/>
        <v>8.9912462969717506</v>
      </c>
      <c r="AA30" s="22">
        <f t="shared" si="25"/>
        <v>53.191544308552032</v>
      </c>
      <c r="AB30" s="22">
        <f t="shared" si="5"/>
        <v>1697.6042315571924</v>
      </c>
      <c r="AC30" s="22">
        <f t="shared" si="26"/>
        <v>3149.6027674679485</v>
      </c>
      <c r="AD30" s="22">
        <f t="shared" si="27"/>
        <v>1074.5972132705158</v>
      </c>
      <c r="AE30" s="22">
        <f t="shared" si="28"/>
        <v>2075.0055541974325</v>
      </c>
      <c r="AF30" s="22">
        <f t="shared" si="6"/>
        <v>69097.684954774493</v>
      </c>
    </row>
    <row r="31" spans="1:41" x14ac:dyDescent="0.35">
      <c r="A31" s="50">
        <v>20</v>
      </c>
      <c r="B31" s="21">
        <f t="shared" si="7"/>
        <v>35.1</v>
      </c>
      <c r="C31" s="21">
        <v>36</v>
      </c>
      <c r="D31" s="21">
        <f t="shared" si="8"/>
        <v>0.8</v>
      </c>
      <c r="E31" s="22">
        <f t="shared" si="9"/>
        <v>4.1608649367544821</v>
      </c>
      <c r="F31" s="22">
        <f t="shared" si="0"/>
        <v>0.15724091767301715</v>
      </c>
      <c r="G31" s="22">
        <f t="shared" si="10"/>
        <v>9.0092409494279195</v>
      </c>
      <c r="H31" s="22">
        <f t="shared" si="1"/>
        <v>231.99453441893854</v>
      </c>
      <c r="I31" s="22">
        <f t="shared" si="11"/>
        <v>2.8620940172507487</v>
      </c>
      <c r="J31" s="22">
        <f t="shared" si="2"/>
        <v>2.3947314022101911</v>
      </c>
      <c r="K31" s="22">
        <f t="shared" si="12"/>
        <v>9.1197170991757989E-2</v>
      </c>
      <c r="L31" s="22">
        <f t="shared" si="13"/>
        <v>0.94186129784665529</v>
      </c>
      <c r="M31" s="22">
        <f t="shared" si="14"/>
        <v>3.7959700869933083E-2</v>
      </c>
      <c r="N31" s="22">
        <f t="shared" si="3"/>
        <v>0.19828360934976935</v>
      </c>
      <c r="O31" s="22">
        <f t="shared" si="4"/>
        <v>0.16194088630108383</v>
      </c>
      <c r="P31" s="22">
        <f t="shared" si="15"/>
        <v>1.2244196872006516</v>
      </c>
      <c r="Q31" s="22">
        <f t="shared" si="16"/>
        <v>1.2209020789655241</v>
      </c>
      <c r="R31" s="22">
        <f t="shared" si="17"/>
        <v>0.1186494162741752</v>
      </c>
      <c r="S31" s="22">
        <f t="shared" si="18"/>
        <v>1.9933898628603897</v>
      </c>
      <c r="T31" s="22">
        <f t="shared" si="19"/>
        <v>2.9933898628603899</v>
      </c>
      <c r="U31" s="22">
        <f t="shared" si="20"/>
        <v>0.33406941488217351</v>
      </c>
      <c r="V31" s="22">
        <f t="shared" si="21"/>
        <v>129.3724615066877</v>
      </c>
      <c r="W31" s="22">
        <f t="shared" si="22"/>
        <v>128.3724615066877</v>
      </c>
      <c r="X31" s="22">
        <f t="shared" si="29"/>
        <v>7.7898327122745397E-3</v>
      </c>
      <c r="Y31" s="22">
        <f t="shared" si="23"/>
        <v>55.19401349516658</v>
      </c>
      <c r="Z31" s="22">
        <f t="shared" si="24"/>
        <v>8.9900628990906579</v>
      </c>
      <c r="AA31" s="22">
        <f t="shared" si="25"/>
        <v>55.92137656240444</v>
      </c>
      <c r="AB31" s="22">
        <f t="shared" si="5"/>
        <v>1876.3202139805419</v>
      </c>
      <c r="AC31" s="22">
        <f t="shared" si="26"/>
        <v>3088.9926176587687</v>
      </c>
      <c r="AD31" s="22">
        <f t="shared" si="27"/>
        <v>1134.5155816968231</v>
      </c>
      <c r="AE31" s="22">
        <f t="shared" si="28"/>
        <v>1954.4770359619456</v>
      </c>
      <c r="AF31" s="22">
        <f t="shared" si="6"/>
        <v>68602.143962264294</v>
      </c>
    </row>
    <row r="32" spans="1:41" x14ac:dyDescent="0.35">
      <c r="A32" s="10">
        <v>21</v>
      </c>
      <c r="B32" s="21">
        <f t="shared" si="7"/>
        <v>36.9</v>
      </c>
      <c r="C32" s="21">
        <v>37.799999999999997</v>
      </c>
      <c r="D32" s="21">
        <f t="shared" si="8"/>
        <v>0.84</v>
      </c>
      <c r="E32" s="22">
        <f t="shared" si="9"/>
        <v>4.3689081835922048</v>
      </c>
      <c r="F32" s="22">
        <f t="shared" si="0"/>
        <v>0.15000935553343195</v>
      </c>
      <c r="G32" s="22">
        <f t="shared" si="10"/>
        <v>8.5949029595430932</v>
      </c>
      <c r="H32" s="22">
        <f t="shared" si="1"/>
        <v>243.59426113988545</v>
      </c>
      <c r="I32" s="22">
        <f t="shared" si="11"/>
        <v>2.7356415467755313</v>
      </c>
      <c r="J32" s="22">
        <f t="shared" si="2"/>
        <v>1.9118052124995939</v>
      </c>
      <c r="K32" s="22">
        <f t="shared" si="12"/>
        <v>0.14781331116711502</v>
      </c>
      <c r="L32" s="22">
        <f t="shared" si="13"/>
        <v>0.90555304513907808</v>
      </c>
      <c r="M32" s="22">
        <f t="shared" si="14"/>
        <v>3.4554831325149547E-2</v>
      </c>
      <c r="N32" s="22">
        <f t="shared" si="3"/>
        <v>0.18180452564427896</v>
      </c>
      <c r="O32" s="22">
        <f t="shared" si="4"/>
        <v>0.15443560800958336</v>
      </c>
      <c r="P32" s="22">
        <f t="shared" si="15"/>
        <v>1.1772189586808066</v>
      </c>
      <c r="Q32" s="22">
        <f t="shared" si="16"/>
        <v>1.1750575191902093</v>
      </c>
      <c r="R32" s="22">
        <f t="shared" si="17"/>
        <v>0.10276333622491007</v>
      </c>
      <c r="S32" s="22">
        <f t="shared" si="18"/>
        <v>1.9924278882503703</v>
      </c>
      <c r="T32" s="22">
        <f t="shared" si="19"/>
        <v>2.9924278882503703</v>
      </c>
      <c r="U32" s="22">
        <f t="shared" si="20"/>
        <v>0.33417680804488348</v>
      </c>
      <c r="V32" s="22">
        <f t="shared" si="21"/>
        <v>150.73370315932422</v>
      </c>
      <c r="W32" s="22">
        <f t="shared" si="22"/>
        <v>149.73370315932422</v>
      </c>
      <c r="X32" s="22">
        <f t="shared" si="29"/>
        <v>6.678523130733964E-3</v>
      </c>
      <c r="Y32" s="22">
        <f t="shared" si="23"/>
        <v>57.960491000158143</v>
      </c>
      <c r="Z32" s="22">
        <f t="shared" si="24"/>
        <v>8.9886130913940736</v>
      </c>
      <c r="AA32" s="22">
        <f t="shared" si="25"/>
        <v>58.653334792543504</v>
      </c>
      <c r="AB32" s="22">
        <f t="shared" si="5"/>
        <v>2064.1282093717164</v>
      </c>
      <c r="AC32" s="22">
        <f t="shared" si="26"/>
        <v>2980.318486251902</v>
      </c>
      <c r="AD32" s="22">
        <f t="shared" si="27"/>
        <v>1194.2679708054766</v>
      </c>
      <c r="AE32" s="22">
        <f t="shared" si="28"/>
        <v>1786.0505154464254</v>
      </c>
      <c r="AF32" s="22">
        <f t="shared" si="6"/>
        <v>65905.264019973096</v>
      </c>
    </row>
    <row r="33" spans="1:48" x14ac:dyDescent="0.35">
      <c r="A33" s="10">
        <v>22</v>
      </c>
      <c r="B33" s="21">
        <f t="shared" si="7"/>
        <v>38.700000000000003</v>
      </c>
      <c r="C33" s="21">
        <v>39.6</v>
      </c>
      <c r="D33" s="21">
        <f t="shared" si="8"/>
        <v>0.88</v>
      </c>
      <c r="E33" s="22">
        <f t="shared" si="9"/>
        <v>4.5769514304299301</v>
      </c>
      <c r="F33" s="22">
        <f t="shared" si="0"/>
        <v>0.14340385420547627</v>
      </c>
      <c r="G33" s="22">
        <f t="shared" si="10"/>
        <v>8.2164356118831723</v>
      </c>
      <c r="H33" s="22">
        <f t="shared" si="1"/>
        <v>255.19398786083241</v>
      </c>
      <c r="I33" s="22">
        <f t="shared" si="11"/>
        <v>2.6194957789005886</v>
      </c>
      <c r="J33" s="22">
        <f t="shared" si="2"/>
        <v>1.4312600556421569</v>
      </c>
      <c r="K33" s="22">
        <f t="shared" si="12"/>
        <v>0.23900756958649333</v>
      </c>
      <c r="L33" s="22">
        <f t="shared" si="13"/>
        <v>0.84635584745679748</v>
      </c>
      <c r="M33" s="22">
        <f t="shared" si="14"/>
        <v>3.1583765274271453E-2</v>
      </c>
      <c r="N33" s="22">
        <f t="shared" si="3"/>
        <v>0.16238472530427298</v>
      </c>
      <c r="O33" s="22">
        <f t="shared" si="4"/>
        <v>0.14758724422177499</v>
      </c>
      <c r="P33" s="22">
        <f t="shared" si="15"/>
        <v>1.1002626016938311</v>
      </c>
      <c r="Q33" s="22">
        <f t="shared" si="16"/>
        <v>1.0995442610211053</v>
      </c>
      <c r="R33" s="22">
        <f t="shared" si="17"/>
        <v>8.4001254405092665E-2</v>
      </c>
      <c r="S33" s="22">
        <f t="shared" si="18"/>
        <v>1.9910351855551685</v>
      </c>
      <c r="T33" s="22">
        <f t="shared" si="19"/>
        <v>2.9910351855551687</v>
      </c>
      <c r="U33" s="22">
        <f t="shared" si="20"/>
        <v>0.33433240933753477</v>
      </c>
      <c r="V33" s="22">
        <f t="shared" si="21"/>
        <v>180.49020876454369</v>
      </c>
      <c r="W33" s="22">
        <f t="shared" si="22"/>
        <v>179.49020876454369</v>
      </c>
      <c r="X33" s="22">
        <f t="shared" si="29"/>
        <v>5.5713345417732832E-3</v>
      </c>
      <c r="Y33" s="22">
        <f t="shared" si="23"/>
        <v>60.720974937195251</v>
      </c>
      <c r="Z33" s="22">
        <f t="shared" si="24"/>
        <v>8.9865124739432805</v>
      </c>
      <c r="AA33" s="22">
        <f t="shared" si="25"/>
        <v>61.382360689108658</v>
      </c>
      <c r="AB33" s="22">
        <f t="shared" si="5"/>
        <v>2260.6765222606991</v>
      </c>
      <c r="AC33" s="22">
        <f t="shared" si="26"/>
        <v>2793.4764545134999</v>
      </c>
      <c r="AD33" s="22">
        <f t="shared" si="27"/>
        <v>1253.6778745685394</v>
      </c>
      <c r="AE33" s="22">
        <f t="shared" si="28"/>
        <v>1539.7985799449605</v>
      </c>
      <c r="AF33" s="22">
        <f t="shared" si="6"/>
        <v>59590.205043869973</v>
      </c>
    </row>
    <row r="34" spans="1:48" x14ac:dyDescent="0.35">
      <c r="A34" s="10">
        <v>23</v>
      </c>
      <c r="B34" s="21">
        <f t="shared" si="7"/>
        <v>40.5</v>
      </c>
      <c r="C34" s="21">
        <v>41.4</v>
      </c>
      <c r="D34" s="21">
        <f t="shared" si="8"/>
        <v>0.91999999999999993</v>
      </c>
      <c r="E34" s="22">
        <f t="shared" si="9"/>
        <v>4.7849946772676537</v>
      </c>
      <c r="F34" s="22">
        <f t="shared" si="0"/>
        <v>0.13734763086524987</v>
      </c>
      <c r="G34" s="22">
        <f t="shared" si="10"/>
        <v>7.8694395746995767</v>
      </c>
      <c r="H34" s="22">
        <f t="shared" si="1"/>
        <v>266.79371458177934</v>
      </c>
      <c r="I34" s="22">
        <f t="shared" si="11"/>
        <v>2.5124944527760888</v>
      </c>
      <c r="J34" s="22">
        <f t="shared" si="2"/>
        <v>0.95266136863915873</v>
      </c>
      <c r="K34" s="22">
        <f t="shared" si="12"/>
        <v>0.38571313142970604</v>
      </c>
      <c r="L34" s="22">
        <f t="shared" si="13"/>
        <v>0.74791089479627093</v>
      </c>
      <c r="M34" s="22">
        <f t="shared" si="14"/>
        <v>2.8976515336976896E-2</v>
      </c>
      <c r="N34" s="22">
        <f t="shared" si="3"/>
        <v>0.13739744687920818</v>
      </c>
      <c r="O34" s="22">
        <f t="shared" si="4"/>
        <v>0.14131408499140374</v>
      </c>
      <c r="P34" s="22">
        <f t="shared" si="15"/>
        <v>0.97228416323515232</v>
      </c>
      <c r="Q34" s="22">
        <f t="shared" si="16"/>
        <v>0.97325960540193623</v>
      </c>
      <c r="R34" s="22">
        <f t="shared" si="17"/>
        <v>5.9818346439429876E-2</v>
      </c>
      <c r="S34" s="22">
        <f t="shared" si="18"/>
        <v>1.9885875859467697</v>
      </c>
      <c r="T34" s="22">
        <f t="shared" si="19"/>
        <v>2.9885875859467697</v>
      </c>
      <c r="U34" s="22">
        <f t="shared" si="20"/>
        <v>0.33460622158182624</v>
      </c>
      <c r="V34" s="22">
        <f t="shared" si="21"/>
        <v>234.08568927079097</v>
      </c>
      <c r="W34" s="22">
        <f t="shared" si="22"/>
        <v>233.08568927079097</v>
      </c>
      <c r="X34" s="44">
        <f t="shared" si="29"/>
        <v>4.2902676827929762E-3</v>
      </c>
      <c r="Y34" s="22">
        <f t="shared" si="23"/>
        <v>63.464251697087541</v>
      </c>
      <c r="Z34" s="22">
        <f t="shared" si="24"/>
        <v>8.9828160086453472</v>
      </c>
      <c r="AA34" s="22">
        <f t="shared" si="25"/>
        <v>64.096819163796681</v>
      </c>
      <c r="AB34" s="22">
        <f t="shared" si="5"/>
        <v>2465.0413361498722</v>
      </c>
      <c r="AC34" s="22">
        <f t="shared" si="26"/>
        <v>2473.4244457058476</v>
      </c>
      <c r="AD34" s="22">
        <f t="shared" si="27"/>
        <v>1312.2929989402403</v>
      </c>
      <c r="AE34" s="22">
        <f t="shared" si="28"/>
        <v>1161.1314467656073</v>
      </c>
      <c r="AF34" s="22">
        <f t="shared" si="6"/>
        <v>47025.823594007095</v>
      </c>
      <c r="AT34" s="115" t="s">
        <v>94</v>
      </c>
      <c r="AU34" s="115"/>
      <c r="AV34" s="115"/>
    </row>
    <row r="35" spans="1:48" x14ac:dyDescent="0.35">
      <c r="A35" s="10">
        <v>24</v>
      </c>
      <c r="B35" s="21">
        <f t="shared" si="7"/>
        <v>42.3</v>
      </c>
      <c r="C35" s="21">
        <v>43.2</v>
      </c>
      <c r="D35" s="21">
        <f t="shared" si="8"/>
        <v>0.96000000000000008</v>
      </c>
      <c r="E35" s="22">
        <f t="shared" si="9"/>
        <v>4.9930379241053782</v>
      </c>
      <c r="F35" s="22">
        <f t="shared" si="0"/>
        <v>0.1317757939890048</v>
      </c>
      <c r="G35" s="22">
        <f t="shared" si="10"/>
        <v>7.5501968375553776</v>
      </c>
      <c r="H35" s="22">
        <f t="shared" si="1"/>
        <v>278.39344130272627</v>
      </c>
      <c r="I35" s="22">
        <f t="shared" si="11"/>
        <v>2.413635811486571</v>
      </c>
      <c r="J35" s="22">
        <f t="shared" si="2"/>
        <v>0.47566589572103907</v>
      </c>
      <c r="K35" s="22">
        <f t="shared" si="12"/>
        <v>0.62147108371358062</v>
      </c>
      <c r="L35" s="22">
        <f t="shared" si="13"/>
        <v>0.57307066044334365</v>
      </c>
      <c r="M35" s="22">
        <f t="shared" si="14"/>
        <v>2.6676532654285125E-2</v>
      </c>
      <c r="N35" s="22">
        <f t="shared" si="3"/>
        <v>0.10098163116890047</v>
      </c>
      <c r="O35" s="22">
        <f t="shared" si="4"/>
        <v>0.13554729492195167</v>
      </c>
      <c r="P35" s="22">
        <f t="shared" si="15"/>
        <v>0.74499185857634298</v>
      </c>
      <c r="Q35" s="22">
        <f t="shared" si="16"/>
        <v>0.74825608496667695</v>
      </c>
      <c r="R35" s="22">
        <f t="shared" si="17"/>
        <v>2.4529587346200685E-2</v>
      </c>
      <c r="S35" s="22">
        <f t="shared" si="18"/>
        <v>1.9826430577373053</v>
      </c>
      <c r="T35" s="22">
        <f t="shared" si="19"/>
        <v>2.9826430577373051</v>
      </c>
      <c r="U35" s="22">
        <f t="shared" si="20"/>
        <v>0.33527310531036886</v>
      </c>
      <c r="V35" s="22">
        <f t="shared" si="21"/>
        <v>456.29409720101154</v>
      </c>
      <c r="W35" s="22">
        <f t="shared" si="22"/>
        <v>455.29409720101154</v>
      </c>
      <c r="X35" s="44">
        <f t="shared" si="29"/>
        <v>2.1963825275742631E-3</v>
      </c>
      <c r="Y35" s="22">
        <f t="shared" si="23"/>
        <v>66.14668508399599</v>
      </c>
      <c r="Z35" s="22">
        <f t="shared" si="24"/>
        <v>8.9738130783100214</v>
      </c>
      <c r="AA35" s="22">
        <f t="shared" si="25"/>
        <v>66.752627429680885</v>
      </c>
      <c r="AB35" s="22">
        <f t="shared" si="5"/>
        <v>2673.5479612594709</v>
      </c>
      <c r="AC35" s="22">
        <f t="shared" si="26"/>
        <v>1895.005629986241</v>
      </c>
      <c r="AD35" s="22">
        <f t="shared" si="27"/>
        <v>1368.3235752788069</v>
      </c>
      <c r="AE35" s="22">
        <f t="shared" si="28"/>
        <v>526.68205470743419</v>
      </c>
      <c r="AF35" s="22">
        <f t="shared" si="6"/>
        <v>22278.650914124464</v>
      </c>
      <c r="AT35" s="116" t="s">
        <v>95</v>
      </c>
      <c r="AU35" s="33">
        <f>SUM(AO12:AO36)</f>
        <v>0</v>
      </c>
      <c r="AV35" s="33"/>
    </row>
    <row r="36" spans="1:48" x14ac:dyDescent="0.35">
      <c r="A36" s="10">
        <v>25</v>
      </c>
      <c r="B36" s="21">
        <f t="shared" si="7"/>
        <v>44.1</v>
      </c>
      <c r="C36" s="21">
        <v>45</v>
      </c>
      <c r="D36" s="21">
        <f t="shared" si="8"/>
        <v>1</v>
      </c>
      <c r="E36" s="53">
        <f t="shared" si="9"/>
        <v>5.2010811709431026</v>
      </c>
      <c r="F36" s="22">
        <f t="shared" si="0"/>
        <v>0.12663315832221103</v>
      </c>
      <c r="G36" s="22">
        <f t="shared" si="10"/>
        <v>7.2555455182746487</v>
      </c>
      <c r="H36" s="22">
        <f t="shared" si="1"/>
        <v>289.99316802367321</v>
      </c>
      <c r="I36" s="22">
        <f t="shared" si="11"/>
        <v>2.322053436793369</v>
      </c>
      <c r="J36" s="22">
        <f t="shared" si="2"/>
        <v>0</v>
      </c>
      <c r="K36" s="22">
        <f t="shared" si="12"/>
        <v>1</v>
      </c>
      <c r="L36" s="22">
        <f t="shared" si="13"/>
        <v>0</v>
      </c>
      <c r="M36" s="22">
        <f t="shared" si="14"/>
        <v>2.4637752172612576E-2</v>
      </c>
      <c r="N36" s="22">
        <f t="shared" si="3"/>
        <v>0</v>
      </c>
      <c r="O36" s="22">
        <f t="shared" si="4"/>
        <v>0.13022849827239824</v>
      </c>
      <c r="P36" s="40">
        <f t="shared" si="15"/>
        <v>0</v>
      </c>
      <c r="Q36" s="22">
        <f t="shared" si="16"/>
        <v>9.3458286884123901E-3</v>
      </c>
      <c r="R36" s="22">
        <f t="shared" si="17"/>
        <v>-7.340746206024866E-2</v>
      </c>
      <c r="S36" s="22">
        <f t="shared" si="18"/>
        <v>0</v>
      </c>
      <c r="T36" s="22">
        <f t="shared" si="19"/>
        <v>1</v>
      </c>
      <c r="U36" s="63">
        <f t="shared" si="20"/>
        <v>1</v>
      </c>
      <c r="V36" s="22">
        <f t="shared" si="21"/>
        <v>0</v>
      </c>
      <c r="W36" s="22">
        <f t="shared" si="22"/>
        <v>-1</v>
      </c>
      <c r="X36" s="64">
        <f t="shared" si="29"/>
        <v>-1</v>
      </c>
      <c r="Y36" s="22">
        <f t="shared" si="23"/>
        <v>0</v>
      </c>
      <c r="Z36" s="22">
        <f t="shared" si="24"/>
        <v>0</v>
      </c>
      <c r="AA36" s="22">
        <f t="shared" si="25"/>
        <v>0</v>
      </c>
      <c r="AB36" s="22">
        <f t="shared" si="5"/>
        <v>0</v>
      </c>
      <c r="AC36" s="22">
        <f t="shared" si="26"/>
        <v>0</v>
      </c>
      <c r="AD36" s="22">
        <f t="shared" si="27"/>
        <v>0</v>
      </c>
      <c r="AE36" s="22">
        <f t="shared" si="28"/>
        <v>0</v>
      </c>
      <c r="AF36" s="22">
        <f t="shared" si="6"/>
        <v>0</v>
      </c>
      <c r="AT36" s="116"/>
      <c r="AU36" s="33">
        <f>AU35-(AO12/2)-(AO36/2)</f>
        <v>0</v>
      </c>
      <c r="AV36" s="33"/>
    </row>
    <row r="37" spans="1:48" x14ac:dyDescent="0.35">
      <c r="AT37" s="113" t="s">
        <v>96</v>
      </c>
      <c r="AU37" s="114">
        <f>AU36*(1-0.04)</f>
        <v>0</v>
      </c>
      <c r="AV37" s="114" t="s">
        <v>97</v>
      </c>
    </row>
    <row r="38" spans="1:48" x14ac:dyDescent="0.35">
      <c r="AD38" s="115" t="s">
        <v>94</v>
      </c>
      <c r="AE38" s="115"/>
      <c r="AF38" s="115"/>
      <c r="AT38" s="113"/>
      <c r="AU38" s="114"/>
      <c r="AV38" s="114"/>
    </row>
    <row r="39" spans="1:48" x14ac:dyDescent="0.35">
      <c r="AD39" s="116" t="s">
        <v>95</v>
      </c>
      <c r="AE39" s="33">
        <f>SUM(AF12:AF36)</f>
        <v>1010363.1152861088</v>
      </c>
      <c r="AF39" s="33"/>
    </row>
    <row r="40" spans="1:48" x14ac:dyDescent="0.35">
      <c r="AD40" s="116"/>
      <c r="AE40" s="33">
        <f>AE39-(AF12/2)-(AF36/2)</f>
        <v>1009990.3333559765</v>
      </c>
      <c r="AF40" s="33"/>
    </row>
    <row r="41" spans="1:48" x14ac:dyDescent="0.35">
      <c r="AD41" s="113" t="s">
        <v>96</v>
      </c>
      <c r="AE41" s="114">
        <f>AE40*1.8</f>
        <v>1817982.6000407578</v>
      </c>
      <c r="AF41" s="114" t="s">
        <v>97</v>
      </c>
    </row>
    <row r="42" spans="1:48" x14ac:dyDescent="0.35">
      <c r="AD42" s="113"/>
      <c r="AE42" s="114"/>
      <c r="AF42" s="114"/>
    </row>
    <row r="54" spans="1:37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7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</row>
    <row r="56" spans="1:37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</row>
    <row r="57" spans="1:37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</row>
    <row r="58" spans="1:37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K58" s="60"/>
    </row>
    <row r="59" spans="1:37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K59" s="60"/>
    </row>
    <row r="60" spans="1:37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K60" s="60"/>
    </row>
    <row r="61" spans="1:37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K61" s="60"/>
    </row>
    <row r="62" spans="1:37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K62" s="60"/>
    </row>
    <row r="63" spans="1:37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K63" s="60"/>
    </row>
    <row r="64" spans="1:37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K64" s="60"/>
    </row>
    <row r="65" spans="1:37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K65" s="60"/>
    </row>
    <row r="66" spans="1:37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K66" s="60"/>
    </row>
    <row r="67" spans="1:37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K67" s="60"/>
    </row>
    <row r="68" spans="1:37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K68" s="60"/>
    </row>
    <row r="69" spans="1:37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K69" s="60"/>
    </row>
    <row r="70" spans="1:37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K70" s="60"/>
    </row>
    <row r="71" spans="1:37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K71" s="60"/>
    </row>
    <row r="72" spans="1:37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K72" s="60"/>
    </row>
    <row r="73" spans="1:37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K73" s="60"/>
    </row>
    <row r="74" spans="1:37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K74" s="60"/>
    </row>
    <row r="75" spans="1:37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K75" s="60"/>
    </row>
    <row r="76" spans="1:37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K76" s="60"/>
    </row>
    <row r="77" spans="1:37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K77" s="60"/>
    </row>
    <row r="78" spans="1:37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K78" s="60"/>
    </row>
    <row r="79" spans="1:37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K79" s="60"/>
    </row>
    <row r="80" spans="1:37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K80" s="60"/>
    </row>
    <row r="81" spans="1:37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K81" s="60"/>
    </row>
    <row r="82" spans="1:37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K82" s="60"/>
    </row>
    <row r="83" spans="1:37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7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7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 t="s">
        <v>94</v>
      </c>
      <c r="AG85" s="55"/>
      <c r="AH85" s="55"/>
      <c r="AI85" s="55"/>
    </row>
    <row r="86" spans="1:37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 t="s">
        <v>95</v>
      </c>
      <c r="AG86" s="55">
        <f>SUM(AI58:AI82)</f>
        <v>0</v>
      </c>
      <c r="AH86" s="55"/>
      <c r="AI86" s="55"/>
    </row>
    <row r="87" spans="1:37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>
        <f>AG86-(AI58/2)-(AI82/2)</f>
        <v>0</v>
      </c>
      <c r="AH87" s="55"/>
      <c r="AI87" s="55"/>
    </row>
    <row r="88" spans="1:37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 t="s">
        <v>96</v>
      </c>
      <c r="AG88" s="55">
        <f>AG87*1.8</f>
        <v>0</v>
      </c>
      <c r="AH88" s="55" t="s">
        <v>97</v>
      </c>
      <c r="AI88" s="55"/>
    </row>
    <row r="89" spans="1:37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</row>
    <row r="101" spans="16:16" x14ac:dyDescent="0.35">
      <c r="P101" t="s">
        <v>148</v>
      </c>
    </row>
  </sheetData>
  <mergeCells count="15">
    <mergeCell ref="AD39:AD40"/>
    <mergeCell ref="AD41:AD42"/>
    <mergeCell ref="AE41:AE42"/>
    <mergeCell ref="AF41:AF42"/>
    <mergeCell ref="AD38:AF38"/>
    <mergeCell ref="AT35:AT36"/>
    <mergeCell ref="AT37:AT38"/>
    <mergeCell ref="AU37:AU38"/>
    <mergeCell ref="AV37:AV38"/>
    <mergeCell ref="S10:U10"/>
    <mergeCell ref="J3:N3"/>
    <mergeCell ref="H10:I10"/>
    <mergeCell ref="J10:L10"/>
    <mergeCell ref="N10:P10"/>
    <mergeCell ref="AT34:AV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933-0C2D-4263-8BD8-FCC723D9215E}">
  <dimension ref="A1:AY89"/>
  <sheetViews>
    <sheetView topLeftCell="S22" zoomScale="85" zoomScaleNormal="85" workbookViewId="0">
      <selection activeCell="I19" sqref="I19"/>
    </sheetView>
  </sheetViews>
  <sheetFormatPr defaultRowHeight="14.5" x14ac:dyDescent="0.35"/>
  <cols>
    <col min="2" max="2" width="11.453125" bestFit="1" customWidth="1"/>
    <col min="3" max="3" width="20" customWidth="1"/>
    <col min="5" max="5" width="9.7265625" bestFit="1" customWidth="1"/>
    <col min="6" max="6" width="11.7265625" bestFit="1" customWidth="1"/>
    <col min="7" max="7" width="10.7265625" bestFit="1" customWidth="1"/>
    <col min="8" max="8" width="12.7265625" bestFit="1" customWidth="1"/>
    <col min="9" max="9" width="11.7265625" bestFit="1" customWidth="1"/>
    <col min="10" max="10" width="12.81640625" bestFit="1" customWidth="1"/>
    <col min="11" max="12" width="12.81640625" customWidth="1"/>
    <col min="13" max="14" width="10.7265625" bestFit="1" customWidth="1"/>
    <col min="15" max="16" width="10.7265625" customWidth="1"/>
    <col min="17" max="17" width="11.7265625" bestFit="1" customWidth="1"/>
    <col min="18" max="18" width="11.7265625" customWidth="1"/>
    <col min="19" max="19" width="11.7265625" bestFit="1" customWidth="1"/>
    <col min="20" max="21" width="13.81640625" bestFit="1" customWidth="1"/>
    <col min="22" max="22" width="12.7265625" bestFit="1" customWidth="1"/>
    <col min="23" max="23" width="13.81640625" bestFit="1" customWidth="1"/>
    <col min="24" max="24" width="15" bestFit="1" customWidth="1"/>
    <col min="25" max="25" width="12.453125" bestFit="1" customWidth="1"/>
    <col min="29" max="29" width="19.26953125" bestFit="1" customWidth="1"/>
  </cols>
  <sheetData>
    <row r="1" spans="1:28" x14ac:dyDescent="0.35">
      <c r="C1" t="s">
        <v>119</v>
      </c>
      <c r="D1">
        <f>45</f>
        <v>45</v>
      </c>
    </row>
    <row r="2" spans="1:28" x14ac:dyDescent="0.35">
      <c r="C2" s="1" t="s">
        <v>51</v>
      </c>
      <c r="D2" s="34">
        <f>5.2</f>
        <v>5.2</v>
      </c>
      <c r="F2" s="1" t="s">
        <v>120</v>
      </c>
      <c r="G2">
        <f>1.3</f>
        <v>1.3</v>
      </c>
    </row>
    <row r="3" spans="1:28" x14ac:dyDescent="0.35">
      <c r="C3" s="1" t="s">
        <v>102</v>
      </c>
      <c r="D3" s="25">
        <f>RADIANS(10)</f>
        <v>0.17453292519943295</v>
      </c>
      <c r="F3" s="1" t="s">
        <v>102</v>
      </c>
      <c r="G3">
        <f>RADIANS(12)</f>
        <v>0.20943951023931956</v>
      </c>
      <c r="I3" s="94" t="s">
        <v>136</v>
      </c>
      <c r="J3" s="94"/>
      <c r="K3" s="94"/>
      <c r="L3" s="94"/>
      <c r="M3" s="94"/>
      <c r="N3" s="94"/>
      <c r="O3" s="71"/>
      <c r="P3" s="71"/>
    </row>
    <row r="4" spans="1:28" x14ac:dyDescent="0.35">
      <c r="C4" s="1" t="s">
        <v>103</v>
      </c>
      <c r="D4" s="25">
        <f>13.5</f>
        <v>13.5</v>
      </c>
      <c r="F4" s="1" t="s">
        <v>104</v>
      </c>
      <c r="G4">
        <f>3</f>
        <v>3</v>
      </c>
    </row>
    <row r="5" spans="1:28" x14ac:dyDescent="0.35">
      <c r="C5" s="1" t="s">
        <v>80</v>
      </c>
      <c r="D5" s="25">
        <f>(2*PI()*14.9)/60</f>
        <v>1.5603243512829306</v>
      </c>
      <c r="F5" s="48" t="s">
        <v>123</v>
      </c>
      <c r="G5">
        <f>G4/2</f>
        <v>1.5</v>
      </c>
    </row>
    <row r="6" spans="1:28" x14ac:dyDescent="0.35">
      <c r="C6" s="1" t="s">
        <v>124</v>
      </c>
      <c r="D6" s="25">
        <v>1.2</v>
      </c>
      <c r="F6" s="48"/>
    </row>
    <row r="7" spans="1:28" x14ac:dyDescent="0.35">
      <c r="C7" s="1" t="s">
        <v>101</v>
      </c>
      <c r="D7" s="27">
        <f>(16*PI())/(3*1.3)</f>
        <v>12.888585245496586</v>
      </c>
    </row>
    <row r="8" spans="1:28" x14ac:dyDescent="0.35">
      <c r="C8" s="1" t="s">
        <v>91</v>
      </c>
      <c r="D8" s="25">
        <f>RADIANS(10)</f>
        <v>0.17453292519943295</v>
      </c>
    </row>
    <row r="10" spans="1:28" x14ac:dyDescent="0.35">
      <c r="A10" s="26" t="s">
        <v>125</v>
      </c>
      <c r="B10" s="26" t="s">
        <v>126</v>
      </c>
      <c r="C10" s="26" t="s">
        <v>55</v>
      </c>
      <c r="D10" s="26" t="s">
        <v>106</v>
      </c>
      <c r="E10" s="26" t="s">
        <v>141</v>
      </c>
      <c r="F10" s="26" t="s">
        <v>112</v>
      </c>
      <c r="G10" s="26" t="s">
        <v>127</v>
      </c>
      <c r="H10" s="72" t="s">
        <v>82</v>
      </c>
      <c r="I10" s="30" t="s">
        <v>171</v>
      </c>
      <c r="J10" s="30" t="s">
        <v>189</v>
      </c>
      <c r="K10" s="30" t="s">
        <v>174</v>
      </c>
      <c r="L10" s="30" t="s">
        <v>190</v>
      </c>
      <c r="M10" s="30" t="s">
        <v>172</v>
      </c>
      <c r="N10" s="30" t="s">
        <v>173</v>
      </c>
      <c r="O10" s="30" t="s">
        <v>142</v>
      </c>
      <c r="P10" s="30" t="s">
        <v>143</v>
      </c>
      <c r="Q10" s="26" t="s">
        <v>145</v>
      </c>
      <c r="R10" s="26" t="s">
        <v>144</v>
      </c>
      <c r="S10" s="26" t="s">
        <v>130</v>
      </c>
      <c r="T10" s="26" t="s">
        <v>131</v>
      </c>
      <c r="U10" s="26" t="s">
        <v>114</v>
      </c>
      <c r="V10" s="26" t="s">
        <v>115</v>
      </c>
      <c r="W10" s="26" t="s">
        <v>89</v>
      </c>
      <c r="X10" s="26" t="s">
        <v>90</v>
      </c>
      <c r="AB10" t="s">
        <v>227</v>
      </c>
    </row>
    <row r="11" spans="1:28" x14ac:dyDescent="0.35">
      <c r="A11" s="10"/>
      <c r="B11" s="21"/>
      <c r="C11" s="26">
        <v>0</v>
      </c>
      <c r="D11" s="26"/>
      <c r="E11" s="26"/>
      <c r="F11" s="26"/>
      <c r="G11" s="26"/>
      <c r="H11" s="26"/>
      <c r="Q11" s="26"/>
      <c r="R11" s="26"/>
      <c r="S11" s="26"/>
      <c r="T11" s="26"/>
      <c r="U11" s="26"/>
      <c r="V11" s="26"/>
      <c r="W11" s="26"/>
      <c r="X11" s="26">
        <v>0</v>
      </c>
      <c r="Z11" t="s">
        <v>117</v>
      </c>
    </row>
    <row r="12" spans="1:28" x14ac:dyDescent="0.35">
      <c r="A12" s="10">
        <v>1</v>
      </c>
      <c r="B12" s="21">
        <f>AVERAGE(C11:C12)</f>
        <v>0.9</v>
      </c>
      <c r="C12" s="21">
        <v>1.8</v>
      </c>
      <c r="D12" s="21">
        <f>C12/D$1</f>
        <v>0.04</v>
      </c>
      <c r="E12" s="22">
        <f>(D$5*C12)/D$4</f>
        <v>0.20804324683772407</v>
      </c>
      <c r="F12" s="80">
        <f>ATAN(R12/Q12)</f>
        <v>0.93579458843377261</v>
      </c>
      <c r="G12" s="22">
        <f>DEGREES(F12)</f>
        <v>53.617080408437054</v>
      </c>
      <c r="H12" s="22">
        <v>3.6517906883587288</v>
      </c>
      <c r="I12" t="s">
        <v>170</v>
      </c>
      <c r="J12" s="22" t="s">
        <v>13</v>
      </c>
      <c r="K12" s="22">
        <f>0</f>
        <v>0</v>
      </c>
      <c r="L12" s="22">
        <f>G12-K12-1</f>
        <v>52.617080408437054</v>
      </c>
      <c r="M12" s="22"/>
      <c r="N12" s="22"/>
      <c r="O12" s="22">
        <v>0.28979857482486793</v>
      </c>
      <c r="P12" s="22">
        <v>1.515241086225894</v>
      </c>
      <c r="Q12" s="22">
        <f>C12*D$5*(1+P12)</f>
        <v>7.0642654491340648</v>
      </c>
      <c r="R12" s="81">
        <f>D$4*(1-O12)</f>
        <v>9.587719239864283</v>
      </c>
      <c r="S12" s="80">
        <f>((R12*R12)+(Q12*Q12))^(1/2)</f>
        <v>11.909164813633787</v>
      </c>
      <c r="T12" s="22">
        <f t="shared" ref="T12:T36" si="0">0.5*D$6*S12*S12</f>
        <v>85.096923934975834</v>
      </c>
      <c r="U12" s="22">
        <f>(T12*G$4*H12*M12*SIN(F12))</f>
        <v>0</v>
      </c>
      <c r="V12" s="22">
        <f>T12*G$4*H12*N12*COS(F12)</f>
        <v>0</v>
      </c>
      <c r="W12" s="22">
        <f>U12-V12</f>
        <v>0</v>
      </c>
      <c r="X12" s="22">
        <f t="shared" ref="X12:X36" si="1">W12*B12</f>
        <v>0</v>
      </c>
      <c r="Y12">
        <v>0</v>
      </c>
      <c r="Z12">
        <f>13.7891</f>
        <v>13.789099999999999</v>
      </c>
      <c r="AA12">
        <f>3*0.5*1.2*Z12*Z12*H12</f>
        <v>1249.8279261292837</v>
      </c>
    </row>
    <row r="13" spans="1:28" x14ac:dyDescent="0.35">
      <c r="A13" s="10">
        <v>2</v>
      </c>
      <c r="B13" s="21">
        <f t="shared" ref="B13:B36" si="2">AVERAGE(C12:C13)</f>
        <v>2.7</v>
      </c>
      <c r="C13" s="21">
        <v>3.6</v>
      </c>
      <c r="D13" s="21">
        <f t="shared" ref="D13:D36" si="3">C13/D$1</f>
        <v>0.08</v>
      </c>
      <c r="E13" s="22">
        <f t="shared" ref="E13:E36" si="4">(D$5*C13)/D$4</f>
        <v>0.41608649367544814</v>
      </c>
      <c r="F13" s="80">
        <f t="shared" ref="F13:F36" si="5">ATAN(R13/Q13)</f>
        <v>0.7957310116880516</v>
      </c>
      <c r="G13" s="22">
        <f t="shared" ref="G13:G36" si="6">DEGREES(F13)</f>
        <v>45.592028597400535</v>
      </c>
      <c r="H13" s="22">
        <v>4.4251965334641685</v>
      </c>
      <c r="I13" t="s">
        <v>170</v>
      </c>
      <c r="J13" s="22" t="s">
        <v>13</v>
      </c>
      <c r="K13" s="22">
        <f>0</f>
        <v>0</v>
      </c>
      <c r="L13" s="22">
        <f t="shared" ref="L13:L36" si="7">G13-K13-1</f>
        <v>44.592028597400535</v>
      </c>
      <c r="M13" s="22"/>
      <c r="N13" s="22"/>
      <c r="O13" s="22">
        <v>0.30459674008474363</v>
      </c>
      <c r="P13" s="22">
        <v>0.63710851242160571</v>
      </c>
      <c r="Q13" s="22">
        <f t="shared" ref="Q13:Q36" si="8">C13*D$5*(1+P13)</f>
        <v>9.1959129994464188</v>
      </c>
      <c r="R13" s="22">
        <f t="shared" ref="R13:R36" si="9">D$4*(1-O13)</f>
        <v>9.3879440088559623</v>
      </c>
      <c r="S13" s="80">
        <f t="shared" ref="S13:S36" si="10">((R13*R13)+(Q13*Q13))^(1/2)</f>
        <v>13.141472847698701</v>
      </c>
      <c r="T13" s="22">
        <f t="shared" si="0"/>
        <v>103.61898516408132</v>
      </c>
      <c r="U13" s="22">
        <f t="shared" ref="U13:U36" si="11">(T13*G$4*H13*M13*SIN(F13))</f>
        <v>0</v>
      </c>
      <c r="V13" s="22">
        <f t="shared" ref="V13:V36" si="12">T13*G$4*H13*N13*COS(F13)</f>
        <v>0</v>
      </c>
      <c r="W13" s="22">
        <f t="shared" ref="W13:W36" si="13">U13-V13</f>
        <v>0</v>
      </c>
      <c r="X13" s="22">
        <f t="shared" si="1"/>
        <v>0</v>
      </c>
      <c r="Y13">
        <v>0</v>
      </c>
      <c r="Z13">
        <f>14.622</f>
        <v>14.622</v>
      </c>
      <c r="AA13">
        <f t="shared" ref="AA13:AA36" si="14">3*0.5*1.2*Z13*Z13*H13</f>
        <v>1703.015606018595</v>
      </c>
    </row>
    <row r="14" spans="1:28" x14ac:dyDescent="0.35">
      <c r="A14" s="10">
        <v>3</v>
      </c>
      <c r="B14" s="21">
        <f t="shared" si="2"/>
        <v>4.5</v>
      </c>
      <c r="C14" s="21">
        <v>5.4</v>
      </c>
      <c r="D14" s="21">
        <f t="shared" si="3"/>
        <v>0.12000000000000001</v>
      </c>
      <c r="E14" s="22">
        <f t="shared" si="4"/>
        <v>0.62412974051317227</v>
      </c>
      <c r="F14" s="80">
        <f t="shared" si="5"/>
        <v>0.6818706313024826</v>
      </c>
      <c r="G14" s="22">
        <f t="shared" si="6"/>
        <v>39.068309347553296</v>
      </c>
      <c r="H14" s="22">
        <v>4.5554641114260352</v>
      </c>
      <c r="I14" t="s">
        <v>167</v>
      </c>
      <c r="J14" s="22">
        <v>15</v>
      </c>
      <c r="K14" s="22">
        <f>G14-J14</f>
        <v>24.068309347553296</v>
      </c>
      <c r="L14" s="22">
        <f t="shared" si="7"/>
        <v>14</v>
      </c>
      <c r="M14" s="22">
        <v>1.3</v>
      </c>
      <c r="N14" s="22">
        <v>7.0000000000000007E-2</v>
      </c>
      <c r="O14" s="22">
        <v>0.31430085511143602</v>
      </c>
      <c r="P14" s="22">
        <v>0.3534153611214873</v>
      </c>
      <c r="Q14" s="22">
        <f t="shared" si="8"/>
        <v>11.403541504934486</v>
      </c>
      <c r="R14" s="22">
        <f t="shared" si="9"/>
        <v>9.2569384559956145</v>
      </c>
      <c r="S14" s="80">
        <f t="shared" si="10"/>
        <v>14.687806794509994</v>
      </c>
      <c r="T14" s="22">
        <f t="shared" si="0"/>
        <v>129.43900105971235</v>
      </c>
      <c r="U14" s="22">
        <f t="shared" si="11"/>
        <v>1449.3484635435896</v>
      </c>
      <c r="V14" s="22">
        <f t="shared" si="12"/>
        <v>96.139060416387395</v>
      </c>
      <c r="W14" s="22">
        <f t="shared" si="13"/>
        <v>1353.2094031272022</v>
      </c>
      <c r="X14" s="22">
        <f t="shared" si="1"/>
        <v>6089.4423140724102</v>
      </c>
      <c r="Y14" s="23">
        <f>K14-1</f>
        <v>23.068309347553296</v>
      </c>
      <c r="Z14">
        <f>15.9236</f>
        <v>15.9236</v>
      </c>
      <c r="AA14">
        <f t="shared" si="14"/>
        <v>2079.158767069051</v>
      </c>
    </row>
    <row r="15" spans="1:28" x14ac:dyDescent="0.35">
      <c r="A15" s="10">
        <v>4</v>
      </c>
      <c r="B15" s="21">
        <f t="shared" si="2"/>
        <v>6.3000000000000007</v>
      </c>
      <c r="C15" s="21">
        <v>7.2</v>
      </c>
      <c r="D15" s="21">
        <f t="shared" si="3"/>
        <v>0.16</v>
      </c>
      <c r="E15" s="22">
        <f t="shared" si="4"/>
        <v>0.83217298735089629</v>
      </c>
      <c r="F15" s="80">
        <f t="shared" si="5"/>
        <v>0.58885357657129</v>
      </c>
      <c r="G15" s="22">
        <f t="shared" si="6"/>
        <v>33.738824688718573</v>
      </c>
      <c r="H15" s="22">
        <v>4.3567224623844165</v>
      </c>
      <c r="I15" t="s">
        <v>167</v>
      </c>
      <c r="J15" s="22">
        <v>15</v>
      </c>
      <c r="K15" s="22">
        <f t="shared" ref="K15:K36" si="15">G15-J15</f>
        <v>18.738824688718573</v>
      </c>
      <c r="L15" s="22">
        <f t="shared" si="7"/>
        <v>14</v>
      </c>
      <c r="M15" s="22">
        <v>1.3</v>
      </c>
      <c r="N15" s="22">
        <v>7.0000000000000007E-2</v>
      </c>
      <c r="O15" s="22">
        <v>0.32059076073053755</v>
      </c>
      <c r="P15" s="22">
        <v>0.22238675468569197</v>
      </c>
      <c r="Q15" s="22">
        <f t="shared" si="8"/>
        <v>13.732702704156953</v>
      </c>
      <c r="R15" s="22">
        <f t="shared" si="9"/>
        <v>9.1720247301377427</v>
      </c>
      <c r="S15" s="80">
        <f t="shared" si="10"/>
        <v>16.514029223996729</v>
      </c>
      <c r="T15" s="22">
        <f t="shared" si="0"/>
        <v>163.6278967266108</v>
      </c>
      <c r="U15" s="22">
        <f t="shared" si="11"/>
        <v>1544.1661148409173</v>
      </c>
      <c r="V15" s="22">
        <f t="shared" si="12"/>
        <v>124.49144472879745</v>
      </c>
      <c r="W15" s="22">
        <f t="shared" si="13"/>
        <v>1419.6746701121199</v>
      </c>
      <c r="X15" s="22">
        <f t="shared" si="1"/>
        <v>8943.9504217063568</v>
      </c>
      <c r="Y15" s="23">
        <f t="shared" ref="Y15:Y36" si="16">K15-1</f>
        <v>17.738824688718573</v>
      </c>
      <c r="Z15">
        <f>17.563</f>
        <v>17.562999999999999</v>
      </c>
      <c r="AA15">
        <f t="shared" si="14"/>
        <v>2418.9662141392287</v>
      </c>
    </row>
    <row r="16" spans="1:28" x14ac:dyDescent="0.35">
      <c r="A16" s="10">
        <v>5</v>
      </c>
      <c r="B16" s="21">
        <f t="shared" si="2"/>
        <v>8.1</v>
      </c>
      <c r="C16" s="21">
        <v>9</v>
      </c>
      <c r="D16" s="21">
        <f t="shared" si="3"/>
        <v>0.2</v>
      </c>
      <c r="E16" s="22">
        <f t="shared" si="4"/>
        <v>1.0402162341886205</v>
      </c>
      <c r="F16" s="80">
        <f t="shared" si="5"/>
        <v>0.51351883510588725</v>
      </c>
      <c r="G16" s="22">
        <f t="shared" si="6"/>
        <v>29.422461952041793</v>
      </c>
      <c r="H16" s="22">
        <v>4.0316811742555716</v>
      </c>
      <c r="I16" t="s">
        <v>167</v>
      </c>
      <c r="J16" s="22">
        <v>15</v>
      </c>
      <c r="K16" s="22">
        <f t="shared" si="15"/>
        <v>14.422461952041793</v>
      </c>
      <c r="L16" s="22">
        <f t="shared" si="7"/>
        <v>14</v>
      </c>
      <c r="M16" s="22">
        <v>1.3</v>
      </c>
      <c r="N16" s="22">
        <v>7.0000000000000007E-2</v>
      </c>
      <c r="O16" s="22">
        <v>0.32469518548197451</v>
      </c>
      <c r="P16" s="22">
        <v>0.15108293520673258</v>
      </c>
      <c r="Q16" s="22">
        <f t="shared" si="8"/>
        <v>16.164564607343671</v>
      </c>
      <c r="R16" s="22">
        <f t="shared" si="9"/>
        <v>9.1166149959933449</v>
      </c>
      <c r="S16" s="80">
        <f t="shared" si="10"/>
        <v>18.558173884575993</v>
      </c>
      <c r="T16" s="22">
        <f t="shared" si="0"/>
        <v>206.64349075809503</v>
      </c>
      <c r="U16" s="22">
        <f t="shared" si="11"/>
        <v>1596.1396725551481</v>
      </c>
      <c r="V16" s="22">
        <f t="shared" si="12"/>
        <v>152.38982729285524</v>
      </c>
      <c r="W16" s="22">
        <f t="shared" si="13"/>
        <v>1443.7498452622929</v>
      </c>
      <c r="X16" s="22">
        <f t="shared" si="1"/>
        <v>11694.373746624571</v>
      </c>
      <c r="Y16" s="23">
        <f t="shared" si="16"/>
        <v>13.422461952041793</v>
      </c>
      <c r="Z16">
        <f>19.4796</f>
        <v>19.479600000000001</v>
      </c>
      <c r="AA16">
        <f t="shared" si="14"/>
        <v>2753.7135098271856</v>
      </c>
    </row>
    <row r="17" spans="1:51" x14ac:dyDescent="0.35">
      <c r="A17" s="10">
        <v>6</v>
      </c>
      <c r="B17" s="21">
        <f t="shared" si="2"/>
        <v>9.9</v>
      </c>
      <c r="C17" s="21">
        <v>10.8</v>
      </c>
      <c r="D17" s="21">
        <f t="shared" si="3"/>
        <v>0.24000000000000002</v>
      </c>
      <c r="E17" s="22">
        <f t="shared" si="4"/>
        <v>1.2482594810263445</v>
      </c>
      <c r="F17" s="80">
        <f t="shared" si="5"/>
        <v>0.45253617863274898</v>
      </c>
      <c r="G17" s="22">
        <f t="shared" si="6"/>
        <v>25.928413112634821</v>
      </c>
      <c r="H17" s="22">
        <v>3.6820125023298784</v>
      </c>
      <c r="I17" t="s">
        <v>167</v>
      </c>
      <c r="J17" s="22">
        <v>15</v>
      </c>
      <c r="K17" s="22">
        <f t="shared" si="15"/>
        <v>10.928413112634821</v>
      </c>
      <c r="L17" s="22">
        <f t="shared" si="7"/>
        <v>14</v>
      </c>
      <c r="M17" s="22">
        <v>1.3</v>
      </c>
      <c r="N17" s="22">
        <v>7.0000000000000007E-2</v>
      </c>
      <c r="O17" s="22">
        <v>0.32741959511674146</v>
      </c>
      <c r="P17" s="22">
        <v>0.10824580794377235</v>
      </c>
      <c r="Q17" s="22">
        <f t="shared" si="8"/>
        <v>18.675607550492451</v>
      </c>
      <c r="R17" s="22">
        <f t="shared" si="9"/>
        <v>9.0798354659239902</v>
      </c>
      <c r="S17" s="80">
        <f t="shared" si="10"/>
        <v>20.765878971723346</v>
      </c>
      <c r="T17" s="22">
        <f t="shared" si="0"/>
        <v>258.73303768095712</v>
      </c>
      <c r="U17" s="22">
        <f t="shared" si="11"/>
        <v>1624.5362758454271</v>
      </c>
      <c r="V17" s="22">
        <f t="shared" si="12"/>
        <v>179.92058791375268</v>
      </c>
      <c r="W17" s="22">
        <f t="shared" si="13"/>
        <v>1444.6156879316745</v>
      </c>
      <c r="X17" s="22">
        <f t="shared" si="1"/>
        <v>14301.695310523579</v>
      </c>
      <c r="Y17" s="23">
        <f t="shared" si="16"/>
        <v>9.9284131126348214</v>
      </c>
      <c r="Z17">
        <f>21.5922</f>
        <v>21.592199999999998</v>
      </c>
      <c r="AA17">
        <f t="shared" si="14"/>
        <v>3089.9507151021899</v>
      </c>
    </row>
    <row r="18" spans="1:51" s="28" customFormat="1" x14ac:dyDescent="0.35">
      <c r="A18" s="50">
        <v>7</v>
      </c>
      <c r="B18" s="21">
        <f t="shared" si="2"/>
        <v>11.7</v>
      </c>
      <c r="C18" s="51">
        <v>12.6</v>
      </c>
      <c r="D18" s="21">
        <f t="shared" si="3"/>
        <v>0.27999999999999997</v>
      </c>
      <c r="E18" s="22">
        <f t="shared" si="4"/>
        <v>1.4563027278640686</v>
      </c>
      <c r="F18" s="80">
        <f t="shared" si="5"/>
        <v>0.40287507389862931</v>
      </c>
      <c r="G18" s="22">
        <f t="shared" si="6"/>
        <v>23.083041405412612</v>
      </c>
      <c r="H18" s="22">
        <v>3.3509989952349413</v>
      </c>
      <c r="I18" t="s">
        <v>167</v>
      </c>
      <c r="J18" s="22">
        <v>15</v>
      </c>
      <c r="K18" s="22">
        <f t="shared" si="15"/>
        <v>8.0830414054126116</v>
      </c>
      <c r="L18" s="22">
        <f t="shared" si="7"/>
        <v>14</v>
      </c>
      <c r="M18" s="22">
        <v>1.3</v>
      </c>
      <c r="N18" s="22">
        <v>7.0000000000000007E-2</v>
      </c>
      <c r="O18" s="22">
        <v>0.32926698172902119</v>
      </c>
      <c r="P18" s="22">
        <v>8.0683396468454502E-2</v>
      </c>
      <c r="Q18" s="22">
        <f t="shared" si="8"/>
        <v>21.24632940616463</v>
      </c>
      <c r="R18" s="22">
        <f t="shared" si="9"/>
        <v>9.0548957466582127</v>
      </c>
      <c r="S18" s="80">
        <f t="shared" si="10"/>
        <v>23.095403227008291</v>
      </c>
      <c r="T18" s="22">
        <f t="shared" si="0"/>
        <v>320.03859013086293</v>
      </c>
      <c r="U18" s="22">
        <f t="shared" si="11"/>
        <v>1639.8312504091084</v>
      </c>
      <c r="V18" s="22">
        <f t="shared" si="12"/>
        <v>207.18308826896669</v>
      </c>
      <c r="W18" s="22">
        <f t="shared" si="13"/>
        <v>1432.6481621401417</v>
      </c>
      <c r="X18" s="22">
        <f t="shared" si="1"/>
        <v>16761.983497039659</v>
      </c>
      <c r="Y18" s="23">
        <f t="shared" si="16"/>
        <v>7.0830414054126116</v>
      </c>
      <c r="Z18">
        <v>23.8489</v>
      </c>
      <c r="AA18">
        <f t="shared" si="14"/>
        <v>3430.706045588021</v>
      </c>
      <c r="AB18"/>
      <c r="AC18"/>
      <c r="AD18"/>
      <c r="AE18"/>
      <c r="AF18"/>
      <c r="AG18"/>
    </row>
    <row r="19" spans="1:51" x14ac:dyDescent="0.35">
      <c r="A19" s="50">
        <v>8</v>
      </c>
      <c r="B19" s="21">
        <f t="shared" si="2"/>
        <v>13.5</v>
      </c>
      <c r="C19" s="21">
        <v>14.4</v>
      </c>
      <c r="D19" s="21">
        <f t="shared" si="3"/>
        <v>0.32</v>
      </c>
      <c r="E19" s="22">
        <f t="shared" si="4"/>
        <v>1.6643459747017926</v>
      </c>
      <c r="F19" s="80">
        <f t="shared" si="5"/>
        <v>0.36204936713085567</v>
      </c>
      <c r="G19" s="22">
        <f t="shared" si="6"/>
        <v>20.743900711980501</v>
      </c>
      <c r="H19" s="22">
        <v>3.0535044316793067</v>
      </c>
      <c r="I19" t="s">
        <v>167</v>
      </c>
      <c r="J19" s="22">
        <v>15</v>
      </c>
      <c r="K19" s="22">
        <f t="shared" si="15"/>
        <v>5.7439007119805012</v>
      </c>
      <c r="L19" s="22">
        <f t="shared" si="7"/>
        <v>14</v>
      </c>
      <c r="M19" s="22">
        <v>1.3</v>
      </c>
      <c r="N19" s="22">
        <v>7.0000000000000007E-2</v>
      </c>
      <c r="O19" s="22">
        <v>0.33054751365265717</v>
      </c>
      <c r="P19" s="22">
        <v>6.2013287998204956E-2</v>
      </c>
      <c r="Q19" s="22">
        <f t="shared" si="8"/>
        <v>23.862026802954976</v>
      </c>
      <c r="R19" s="22">
        <f t="shared" si="9"/>
        <v>9.0376085656891281</v>
      </c>
      <c r="S19" s="80">
        <f t="shared" si="10"/>
        <v>25.516165302246321</v>
      </c>
      <c r="T19" s="22">
        <f t="shared" si="0"/>
        <v>390.64481503893546</v>
      </c>
      <c r="U19" s="22">
        <f t="shared" si="11"/>
        <v>1647.7197466148129</v>
      </c>
      <c r="V19" s="22">
        <f t="shared" si="12"/>
        <v>234.2566001596478</v>
      </c>
      <c r="W19" s="22">
        <f t="shared" si="13"/>
        <v>1413.4631464551651</v>
      </c>
      <c r="X19" s="22">
        <f t="shared" si="1"/>
        <v>19081.752477144728</v>
      </c>
      <c r="Y19" s="23">
        <f t="shared" si="16"/>
        <v>4.7439007119805012</v>
      </c>
      <c r="Z19">
        <v>26.212399999999999</v>
      </c>
      <c r="AA19">
        <f t="shared" si="14"/>
        <v>3776.457773930962</v>
      </c>
      <c r="AV19">
        <v>63.246432952892903</v>
      </c>
      <c r="AY19">
        <v>71.500625622739605</v>
      </c>
    </row>
    <row r="20" spans="1:51" x14ac:dyDescent="0.35">
      <c r="A20" s="50">
        <v>9</v>
      </c>
      <c r="B20" s="21">
        <f t="shared" si="2"/>
        <v>15.3</v>
      </c>
      <c r="C20" s="21">
        <v>16.2</v>
      </c>
      <c r="D20" s="21">
        <f t="shared" si="3"/>
        <v>0.36</v>
      </c>
      <c r="E20" s="22">
        <f t="shared" si="4"/>
        <v>1.8723892215395166</v>
      </c>
      <c r="F20" s="80">
        <f t="shared" si="5"/>
        <v>0.3281211304440933</v>
      </c>
      <c r="G20" s="22">
        <f t="shared" si="6"/>
        <v>18.799955943508092</v>
      </c>
      <c r="H20" s="22">
        <v>2.7919363473478369</v>
      </c>
      <c r="I20" t="s">
        <v>166</v>
      </c>
      <c r="J20" s="22">
        <v>13</v>
      </c>
      <c r="K20" s="22">
        <f t="shared" si="15"/>
        <v>5.7999559435080918</v>
      </c>
      <c r="L20" s="22">
        <f t="shared" si="7"/>
        <v>12</v>
      </c>
      <c r="M20" s="22">
        <v>1.35</v>
      </c>
      <c r="N20" s="22">
        <v>0.04</v>
      </c>
      <c r="O20" s="22">
        <v>0.33145378694207139</v>
      </c>
      <c r="P20" s="22">
        <v>4.8845253638592628E-2</v>
      </c>
      <c r="Q20" s="22">
        <f t="shared" si="8"/>
        <v>26.511928397673046</v>
      </c>
      <c r="R20" s="22">
        <f t="shared" si="9"/>
        <v>9.0253738762820355</v>
      </c>
      <c r="S20" s="80">
        <f t="shared" si="10"/>
        <v>28.006065788861108</v>
      </c>
      <c r="T20" s="22">
        <f t="shared" si="0"/>
        <v>470.60383258200994</v>
      </c>
      <c r="U20" s="22">
        <f t="shared" si="11"/>
        <v>1714.8616673169304</v>
      </c>
      <c r="V20" s="22">
        <f t="shared" si="12"/>
        <v>149.25587401831453</v>
      </c>
      <c r="W20" s="22">
        <f t="shared" si="13"/>
        <v>1565.6057932986159</v>
      </c>
      <c r="X20" s="22">
        <f t="shared" si="1"/>
        <v>23953.768637468824</v>
      </c>
      <c r="Y20" s="23">
        <f t="shared" si="16"/>
        <v>4.7999559435080918</v>
      </c>
      <c r="Z20">
        <v>28.656400000000001</v>
      </c>
      <c r="AA20">
        <f t="shared" si="14"/>
        <v>4126.8746623066772</v>
      </c>
    </row>
    <row r="21" spans="1:51" x14ac:dyDescent="0.35">
      <c r="A21" s="50">
        <v>10</v>
      </c>
      <c r="B21" s="21">
        <f t="shared" si="2"/>
        <v>17.100000000000001</v>
      </c>
      <c r="C21" s="21">
        <v>18</v>
      </c>
      <c r="D21" s="21">
        <f t="shared" si="3"/>
        <v>0.4</v>
      </c>
      <c r="E21" s="22">
        <f t="shared" si="4"/>
        <v>2.0804324683772411</v>
      </c>
      <c r="F21" s="80">
        <f t="shared" si="5"/>
        <v>0.29961188952561002</v>
      </c>
      <c r="G21" s="22">
        <f t="shared" si="6"/>
        <v>17.16649676175733</v>
      </c>
      <c r="H21" s="22">
        <v>2.5638067136176081</v>
      </c>
      <c r="I21" t="s">
        <v>166</v>
      </c>
      <c r="J21" s="22">
        <v>13</v>
      </c>
      <c r="K21" s="22">
        <f t="shared" si="15"/>
        <v>4.1664967617573296</v>
      </c>
      <c r="L21" s="22">
        <f t="shared" si="7"/>
        <v>12</v>
      </c>
      <c r="M21" s="22">
        <v>1.35</v>
      </c>
      <c r="N21" s="22">
        <v>0.04</v>
      </c>
      <c r="O21" s="22">
        <v>0.33210740860299898</v>
      </c>
      <c r="P21" s="22">
        <v>3.924885864301058E-2</v>
      </c>
      <c r="Q21" s="22">
        <f t="shared" si="8"/>
        <v>29.188175421306269</v>
      </c>
      <c r="R21" s="22">
        <f t="shared" si="9"/>
        <v>9.0165499838595142</v>
      </c>
      <c r="S21" s="80">
        <f t="shared" si="10"/>
        <v>30.549104046377277</v>
      </c>
      <c r="T21" s="22">
        <f t="shared" si="0"/>
        <v>559.9486548218307</v>
      </c>
      <c r="U21" s="22">
        <f t="shared" si="11"/>
        <v>1716.0519308965693</v>
      </c>
      <c r="V21" s="22">
        <f t="shared" si="12"/>
        <v>164.59748772512268</v>
      </c>
      <c r="W21" s="22">
        <f t="shared" si="13"/>
        <v>1551.4544431714467</v>
      </c>
      <c r="X21" s="22">
        <f t="shared" si="1"/>
        <v>26529.870978231738</v>
      </c>
      <c r="Y21" s="23">
        <f t="shared" si="16"/>
        <v>3.1664967617573296</v>
      </c>
      <c r="Z21">
        <v>31.161899999999999</v>
      </c>
      <c r="AA21">
        <f t="shared" si="14"/>
        <v>4481.3167781726961</v>
      </c>
      <c r="AJ21">
        <f t="shared" ref="AJ21" si="17">3*0.5*1.2*AB12*AB12*R12</f>
        <v>0</v>
      </c>
    </row>
    <row r="22" spans="1:51" x14ac:dyDescent="0.35">
      <c r="A22" s="10">
        <v>11</v>
      </c>
      <c r="B22" s="21">
        <f t="shared" si="2"/>
        <v>18.899999999999999</v>
      </c>
      <c r="C22" s="21">
        <v>19.8</v>
      </c>
      <c r="D22" s="21">
        <f t="shared" si="3"/>
        <v>0.44</v>
      </c>
      <c r="E22" s="22">
        <f t="shared" si="4"/>
        <v>2.2884757152149651</v>
      </c>
      <c r="F22" s="80">
        <f t="shared" si="5"/>
        <v>0.27540001079256943</v>
      </c>
      <c r="G22" s="22">
        <f t="shared" si="6"/>
        <v>15.77925829627155</v>
      </c>
      <c r="H22" s="22">
        <v>2.3650817199057439</v>
      </c>
      <c r="I22" t="s">
        <v>166</v>
      </c>
      <c r="J22" s="22">
        <v>13</v>
      </c>
      <c r="K22" s="22">
        <f t="shared" si="15"/>
        <v>2.77925829627155</v>
      </c>
      <c r="L22" s="22">
        <f t="shared" si="7"/>
        <v>12</v>
      </c>
      <c r="M22" s="22">
        <v>1.35</v>
      </c>
      <c r="N22" s="22">
        <v>0.04</v>
      </c>
      <c r="O22" s="22">
        <v>0.33258680024457693</v>
      </c>
      <c r="P22" s="22">
        <v>3.206313416224759E-2</v>
      </c>
      <c r="Q22" s="22">
        <f t="shared" si="8"/>
        <v>31.884994157835791</v>
      </c>
      <c r="R22" s="22">
        <f t="shared" si="9"/>
        <v>9.0100781966982115</v>
      </c>
      <c r="S22" s="80">
        <f t="shared" si="10"/>
        <v>33.133583590608474</v>
      </c>
      <c r="T22" s="22">
        <f t="shared" si="0"/>
        <v>658.7006169335034</v>
      </c>
      <c r="U22" s="22">
        <f t="shared" si="11"/>
        <v>1715.7317775376919</v>
      </c>
      <c r="V22" s="22">
        <f t="shared" si="12"/>
        <v>179.9009262785552</v>
      </c>
      <c r="W22" s="22">
        <f t="shared" si="13"/>
        <v>1535.8308512591366</v>
      </c>
      <c r="X22" s="22">
        <f t="shared" si="1"/>
        <v>29027.20308879768</v>
      </c>
      <c r="Y22" s="23">
        <f t="shared" si="16"/>
        <v>1.77925829627155</v>
      </c>
      <c r="Z22">
        <v>33.715200000000003</v>
      </c>
      <c r="AA22">
        <f t="shared" si="14"/>
        <v>4839.1617308915593</v>
      </c>
    </row>
    <row r="23" spans="1:51" x14ac:dyDescent="0.35">
      <c r="A23" s="10">
        <v>12</v>
      </c>
      <c r="B23" s="21">
        <f t="shared" si="2"/>
        <v>20.700000000000003</v>
      </c>
      <c r="C23" s="21">
        <v>21.6</v>
      </c>
      <c r="D23" s="21">
        <f t="shared" si="3"/>
        <v>0.48000000000000004</v>
      </c>
      <c r="E23" s="22">
        <f t="shared" si="4"/>
        <v>2.4965189620526891</v>
      </c>
      <c r="F23" s="80">
        <f t="shared" si="5"/>
        <v>0.25463218370016005</v>
      </c>
      <c r="G23" s="22">
        <f t="shared" si="6"/>
        <v>14.589349454219045</v>
      </c>
      <c r="H23" s="22">
        <v>2.1915769796084459</v>
      </c>
      <c r="I23" t="s">
        <v>166</v>
      </c>
      <c r="J23" s="22">
        <v>13</v>
      </c>
      <c r="K23" s="22">
        <f t="shared" si="15"/>
        <v>1.5893494542190449</v>
      </c>
      <c r="L23" s="22">
        <f t="shared" si="7"/>
        <v>12</v>
      </c>
      <c r="M23" s="22">
        <v>1.35</v>
      </c>
      <c r="N23" s="22">
        <v>0.04</v>
      </c>
      <c r="O23" s="22">
        <v>0.33294370167723308</v>
      </c>
      <c r="P23" s="22">
        <v>2.6557986087290035E-2</v>
      </c>
      <c r="Q23" s="22">
        <f t="shared" si="8"/>
        <v>34.59808995183279</v>
      </c>
      <c r="R23" s="22">
        <f t="shared" si="9"/>
        <v>9.0052600273573535</v>
      </c>
      <c r="S23" s="80">
        <f t="shared" si="10"/>
        <v>35.750839661124509</v>
      </c>
      <c r="T23" s="22">
        <f t="shared" si="0"/>
        <v>766.87352188525995</v>
      </c>
      <c r="U23" s="22">
        <f t="shared" si="11"/>
        <v>1714.5316536352318</v>
      </c>
      <c r="V23" s="22">
        <f t="shared" si="12"/>
        <v>195.17653163374331</v>
      </c>
      <c r="W23" s="22">
        <f t="shared" si="13"/>
        <v>1519.3551220014886</v>
      </c>
      <c r="X23" s="22">
        <f t="shared" si="1"/>
        <v>31450.651025430816</v>
      </c>
      <c r="Y23" s="23">
        <f t="shared" si="16"/>
        <v>0.58934945421904494</v>
      </c>
      <c r="Z23">
        <v>36.306199999999997</v>
      </c>
      <c r="AA23">
        <f t="shared" si="14"/>
        <v>5199.8501288421594</v>
      </c>
    </row>
    <row r="24" spans="1:51" x14ac:dyDescent="0.35">
      <c r="A24" s="10">
        <v>13</v>
      </c>
      <c r="B24" s="21">
        <f t="shared" si="2"/>
        <v>22.5</v>
      </c>
      <c r="C24" s="21">
        <v>23.4</v>
      </c>
      <c r="D24" s="21">
        <f t="shared" si="3"/>
        <v>0.52</v>
      </c>
      <c r="E24" s="22">
        <f t="shared" si="4"/>
        <v>2.7045622088904131</v>
      </c>
      <c r="F24" s="80">
        <f t="shared" si="5"/>
        <v>0.23665455926050369</v>
      </c>
      <c r="G24" s="22">
        <f t="shared" si="6"/>
        <v>13.559307448155494</v>
      </c>
      <c r="H24" s="22">
        <v>2.039482019795571</v>
      </c>
      <c r="I24" t="s">
        <v>166</v>
      </c>
      <c r="J24" s="22">
        <v>13</v>
      </c>
      <c r="K24" s="22">
        <f t="shared" si="15"/>
        <v>0.5593074481554936</v>
      </c>
      <c r="L24" s="22">
        <f t="shared" si="7"/>
        <v>12</v>
      </c>
      <c r="M24" s="22">
        <v>1.35</v>
      </c>
      <c r="N24" s="22">
        <v>0.04</v>
      </c>
      <c r="O24" s="22">
        <v>0.33321306665590478</v>
      </c>
      <c r="P24" s="22">
        <v>2.225671732629337E-2</v>
      </c>
      <c r="Q24" s="22">
        <f t="shared" si="8"/>
        <v>37.324217953778344</v>
      </c>
      <c r="R24" s="22">
        <f t="shared" si="9"/>
        <v>9.001623600145285</v>
      </c>
      <c r="S24" s="80">
        <f t="shared" si="10"/>
        <v>38.394354706126293</v>
      </c>
      <c r="T24" s="22">
        <f t="shared" si="0"/>
        <v>884.47588397990535</v>
      </c>
      <c r="U24" s="22">
        <f t="shared" si="11"/>
        <v>1712.8304552837321</v>
      </c>
      <c r="V24" s="22">
        <f t="shared" si="12"/>
        <v>210.43136239571382</v>
      </c>
      <c r="W24" s="22">
        <f t="shared" si="13"/>
        <v>1502.3990928880182</v>
      </c>
      <c r="X24" s="22">
        <f t="shared" si="1"/>
        <v>33803.979589980408</v>
      </c>
      <c r="Y24" s="23">
        <f t="shared" si="16"/>
        <v>-0.4406925518445064</v>
      </c>
      <c r="Z24">
        <v>38.927399999999999</v>
      </c>
      <c r="AA24">
        <f t="shared" si="14"/>
        <v>5562.9247013057075</v>
      </c>
    </row>
    <row r="25" spans="1:51" x14ac:dyDescent="0.35">
      <c r="A25" s="10">
        <v>14</v>
      </c>
      <c r="B25" s="21">
        <f t="shared" si="2"/>
        <v>24.299999999999997</v>
      </c>
      <c r="C25" s="21">
        <v>25.2</v>
      </c>
      <c r="D25" s="21">
        <f t="shared" si="3"/>
        <v>0.55999999999999994</v>
      </c>
      <c r="E25" s="22">
        <f t="shared" si="4"/>
        <v>2.9126054557281371</v>
      </c>
      <c r="F25" s="80">
        <f t="shared" si="5"/>
        <v>0.22096144899716047</v>
      </c>
      <c r="G25" s="22">
        <f t="shared" si="6"/>
        <v>12.660158462632491</v>
      </c>
      <c r="H25" s="22">
        <v>1.9055104310628246</v>
      </c>
      <c r="I25" t="s">
        <v>166</v>
      </c>
      <c r="J25" s="22">
        <v>13</v>
      </c>
      <c r="K25" s="22">
        <f t="shared" si="15"/>
        <v>-0.33984153736750855</v>
      </c>
      <c r="L25" s="22">
        <f t="shared" si="7"/>
        <v>12</v>
      </c>
      <c r="M25" s="22">
        <v>1.35</v>
      </c>
      <c r="N25" s="22">
        <v>0.04</v>
      </c>
      <c r="O25" s="22">
        <v>0.33341911068344993</v>
      </c>
      <c r="P25" s="22">
        <v>1.8837814212126307E-2</v>
      </c>
      <c r="Q25" s="22">
        <f t="shared" si="8"/>
        <v>40.060879778380986</v>
      </c>
      <c r="R25" s="22">
        <f t="shared" si="9"/>
        <v>8.998842005773426</v>
      </c>
      <c r="S25" s="80">
        <f t="shared" si="10"/>
        <v>41.059143269955925</v>
      </c>
      <c r="T25" s="22">
        <f t="shared" si="0"/>
        <v>1011.5119476376601</v>
      </c>
      <c r="U25" s="22">
        <f t="shared" si="11"/>
        <v>1710.8585883569888</v>
      </c>
      <c r="V25" s="22">
        <f t="shared" si="12"/>
        <v>225.67018909357247</v>
      </c>
      <c r="W25" s="22">
        <f t="shared" si="13"/>
        <v>1485.1883992634164</v>
      </c>
      <c r="X25" s="22">
        <f t="shared" si="1"/>
        <v>36090.078102101012</v>
      </c>
      <c r="Y25" s="23">
        <f t="shared" si="16"/>
        <v>-1.3398415373675086</v>
      </c>
      <c r="Z25">
        <v>41.573099999999997</v>
      </c>
      <c r="AA25">
        <f t="shared" si="14"/>
        <v>5928.0062861536762</v>
      </c>
    </row>
    <row r="26" spans="1:51" x14ac:dyDescent="0.35">
      <c r="A26" s="10">
        <v>15</v>
      </c>
      <c r="B26" s="21">
        <f t="shared" si="2"/>
        <v>26.1</v>
      </c>
      <c r="C26" s="21">
        <v>27</v>
      </c>
      <c r="D26" s="21">
        <f t="shared" si="3"/>
        <v>0.6</v>
      </c>
      <c r="E26" s="22">
        <f t="shared" si="4"/>
        <v>3.1206487025658611</v>
      </c>
      <c r="F26" s="80">
        <f t="shared" si="5"/>
        <v>0.20715776002351882</v>
      </c>
      <c r="G26" s="22">
        <f t="shared" si="6"/>
        <v>11.869265342731554</v>
      </c>
      <c r="H26" s="22">
        <v>1.7868977075456098</v>
      </c>
      <c r="I26" t="s">
        <v>166</v>
      </c>
      <c r="J26" s="22">
        <v>13</v>
      </c>
      <c r="K26" s="22">
        <f t="shared" si="15"/>
        <v>-1.1307346572684462</v>
      </c>
      <c r="L26" s="22">
        <f t="shared" si="7"/>
        <v>12</v>
      </c>
      <c r="M26" s="22">
        <v>1.35</v>
      </c>
      <c r="N26" s="22">
        <v>0.04</v>
      </c>
      <c r="O26" s="22">
        <v>0.33357910707728922</v>
      </c>
      <c r="P26" s="22">
        <v>1.6078029078027734E-2</v>
      </c>
      <c r="Q26" s="22">
        <f t="shared" si="8"/>
        <v>42.806104872498331</v>
      </c>
      <c r="R26" s="22">
        <f t="shared" si="9"/>
        <v>8.9966820544565955</v>
      </c>
      <c r="S26" s="80">
        <f t="shared" si="10"/>
        <v>43.741318022486553</v>
      </c>
      <c r="T26" s="22">
        <f t="shared" si="0"/>
        <v>1147.9817414065842</v>
      </c>
      <c r="U26" s="22">
        <f t="shared" si="11"/>
        <v>1708.7565922883193</v>
      </c>
      <c r="V26" s="22">
        <f t="shared" si="12"/>
        <v>240.89609743391671</v>
      </c>
      <c r="W26" s="22">
        <f t="shared" si="13"/>
        <v>1467.8604948544025</v>
      </c>
      <c r="X26" s="22">
        <f t="shared" si="1"/>
        <v>38311.158915699911</v>
      </c>
      <c r="Y26" s="23">
        <f t="shared" si="16"/>
        <v>-2.1307346572684462</v>
      </c>
      <c r="Z26">
        <v>44.238900000000001</v>
      </c>
      <c r="AA26">
        <f t="shared" si="14"/>
        <v>6294.7840566270315</v>
      </c>
    </row>
    <row r="27" spans="1:51" x14ac:dyDescent="0.35">
      <c r="A27" s="10">
        <v>16</v>
      </c>
      <c r="B27" s="21">
        <f t="shared" si="2"/>
        <v>27.9</v>
      </c>
      <c r="C27" s="21">
        <v>28.8</v>
      </c>
      <c r="D27" s="21">
        <f t="shared" si="3"/>
        <v>0.64</v>
      </c>
      <c r="E27" s="22">
        <f t="shared" si="4"/>
        <v>3.3286919494035851</v>
      </c>
      <c r="F27" s="80">
        <f t="shared" si="5"/>
        <v>0.19493160937359783</v>
      </c>
      <c r="G27" s="22">
        <f t="shared" si="6"/>
        <v>11.168758510799952</v>
      </c>
      <c r="H27" s="22">
        <v>1.6813442038801714</v>
      </c>
      <c r="I27" t="s">
        <v>166</v>
      </c>
      <c r="J27" s="22">
        <v>13</v>
      </c>
      <c r="K27" s="22">
        <f t="shared" si="15"/>
        <v>-1.8312414892000479</v>
      </c>
      <c r="L27" s="22">
        <f t="shared" si="7"/>
        <v>12</v>
      </c>
      <c r="M27" s="22">
        <v>1.35</v>
      </c>
      <c r="N27" s="22">
        <v>0.04</v>
      </c>
      <c r="O27" s="22">
        <v>0.33370586374682953</v>
      </c>
      <c r="P27" s="22">
        <v>1.3817996337856461E-2</v>
      </c>
      <c r="Q27" s="22">
        <f t="shared" si="8"/>
        <v>45.558285334698994</v>
      </c>
      <c r="R27" s="22">
        <f t="shared" si="9"/>
        <v>8.9949708394178014</v>
      </c>
      <c r="S27" s="80">
        <f t="shared" si="10"/>
        <v>46.437774096524329</v>
      </c>
      <c r="T27" s="22">
        <f t="shared" si="0"/>
        <v>1293.8801178238955</v>
      </c>
      <c r="U27" s="22">
        <f t="shared" si="11"/>
        <v>1706.6091074152823</v>
      </c>
      <c r="V27" s="22">
        <f t="shared" si="12"/>
        <v>256.11079975096402</v>
      </c>
      <c r="W27" s="22">
        <f t="shared" si="13"/>
        <v>1450.4983076643184</v>
      </c>
      <c r="X27" s="22">
        <f t="shared" si="1"/>
        <v>40468.902783834485</v>
      </c>
      <c r="Y27" s="23">
        <f t="shared" si="16"/>
        <v>-2.8312414892000479</v>
      </c>
      <c r="Z27">
        <v>46.921399999999998</v>
      </c>
      <c r="AA27">
        <f t="shared" si="14"/>
        <v>6663.0191222386575</v>
      </c>
    </row>
    <row r="28" spans="1:51" x14ac:dyDescent="0.35">
      <c r="A28" s="50">
        <v>17</v>
      </c>
      <c r="B28" s="21">
        <f t="shared" si="2"/>
        <v>29.700000000000003</v>
      </c>
      <c r="C28" s="21">
        <v>30.6</v>
      </c>
      <c r="D28" s="21">
        <f t="shared" si="3"/>
        <v>0.68</v>
      </c>
      <c r="E28" s="22">
        <f t="shared" si="4"/>
        <v>3.5367351962413096</v>
      </c>
      <c r="F28" s="80">
        <f t="shared" si="5"/>
        <v>0.18403431462748865</v>
      </c>
      <c r="G28" s="22">
        <f t="shared" si="6"/>
        <v>10.54438951373781</v>
      </c>
      <c r="H28" s="22">
        <v>1.5869447156704022</v>
      </c>
      <c r="I28" t="s">
        <v>166</v>
      </c>
      <c r="J28" s="22">
        <v>13</v>
      </c>
      <c r="K28" s="22">
        <f t="shared" si="15"/>
        <v>-2.4556104862621897</v>
      </c>
      <c r="L28" s="22">
        <f t="shared" si="7"/>
        <v>12</v>
      </c>
      <c r="M28" s="22">
        <v>1.35</v>
      </c>
      <c r="N28" s="22">
        <v>0.04</v>
      </c>
      <c r="O28" s="22">
        <v>0.33380944750911146</v>
      </c>
      <c r="P28" s="22">
        <v>1.1940578098201381E-2</v>
      </c>
      <c r="Q28" s="22">
        <f t="shared" si="8"/>
        <v>48.31603909737327</v>
      </c>
      <c r="R28" s="22">
        <f t="shared" si="9"/>
        <v>8.9935724586269945</v>
      </c>
      <c r="S28" s="80">
        <f t="shared" si="10"/>
        <v>49.14594570895423</v>
      </c>
      <c r="T28" s="22">
        <f t="shared" si="0"/>
        <v>1449.1943877764859</v>
      </c>
      <c r="U28" s="22">
        <f t="shared" si="11"/>
        <v>1704.464677958342</v>
      </c>
      <c r="V28" s="22">
        <f t="shared" si="12"/>
        <v>271.31469361957568</v>
      </c>
      <c r="W28" s="22">
        <f t="shared" si="13"/>
        <v>1433.1499843387664</v>
      </c>
      <c r="X28" s="22">
        <f t="shared" si="1"/>
        <v>42564.554534861367</v>
      </c>
      <c r="Y28" s="23">
        <f t="shared" si="16"/>
        <v>-3.4556104862621897</v>
      </c>
      <c r="Z28">
        <v>49.617800000000003</v>
      </c>
      <c r="AA28">
        <f t="shared" si="14"/>
        <v>7032.4930404223242</v>
      </c>
    </row>
    <row r="29" spans="1:51" x14ac:dyDescent="0.35">
      <c r="A29" s="50">
        <v>18</v>
      </c>
      <c r="B29" s="21">
        <f t="shared" si="2"/>
        <v>31.5</v>
      </c>
      <c r="C29" s="21">
        <v>32.4</v>
      </c>
      <c r="D29" s="21">
        <f t="shared" si="3"/>
        <v>0.72</v>
      </c>
      <c r="E29" s="22">
        <f t="shared" si="4"/>
        <v>3.7447784430790332</v>
      </c>
      <c r="F29" s="80">
        <f t="shared" si="5"/>
        <v>0.17426569406069037</v>
      </c>
      <c r="G29" s="22">
        <f t="shared" si="6"/>
        <v>9.9846887835955744</v>
      </c>
      <c r="H29" s="22">
        <v>1.502121350121068</v>
      </c>
      <c r="I29" t="s">
        <v>166</v>
      </c>
      <c r="J29" s="22">
        <v>13</v>
      </c>
      <c r="K29" s="22">
        <f t="shared" si="15"/>
        <v>-3.0153112164044256</v>
      </c>
      <c r="L29" s="22">
        <f t="shared" si="7"/>
        <v>12</v>
      </c>
      <c r="M29" s="22">
        <v>1.35</v>
      </c>
      <c r="N29" s="22">
        <v>0.04</v>
      </c>
      <c r="O29" s="22">
        <v>0.33389853908659506</v>
      </c>
      <c r="P29" s="22">
        <v>1.0356504705548946E-2</v>
      </c>
      <c r="Q29" s="22">
        <f t="shared" si="8"/>
        <v>51.078076991721261</v>
      </c>
      <c r="R29" s="22">
        <f t="shared" si="9"/>
        <v>8.9923697223309667</v>
      </c>
      <c r="S29" s="80">
        <f t="shared" si="10"/>
        <v>51.863596697445686</v>
      </c>
      <c r="T29" s="22">
        <f t="shared" si="0"/>
        <v>1613.8995974371794</v>
      </c>
      <c r="U29" s="22">
        <f t="shared" si="11"/>
        <v>1702.3469564954025</v>
      </c>
      <c r="V29" s="22">
        <f t="shared" si="12"/>
        <v>286.5066358370492</v>
      </c>
      <c r="W29" s="22">
        <f t="shared" si="13"/>
        <v>1415.8403206583534</v>
      </c>
      <c r="X29" s="22">
        <f t="shared" si="1"/>
        <v>44598.970100738137</v>
      </c>
      <c r="Y29" s="23">
        <f t="shared" si="16"/>
        <v>-4.0153112164044256</v>
      </c>
      <c r="Z29">
        <v>52.326000000000001</v>
      </c>
      <c r="AA29">
        <f t="shared" si="14"/>
        <v>7403.0826463748599</v>
      </c>
    </row>
    <row r="30" spans="1:51" x14ac:dyDescent="0.35">
      <c r="A30" s="50">
        <v>19</v>
      </c>
      <c r="B30" s="21">
        <f t="shared" si="2"/>
        <v>33.299999999999997</v>
      </c>
      <c r="C30" s="21">
        <v>34.200000000000003</v>
      </c>
      <c r="D30" s="21">
        <f t="shared" si="3"/>
        <v>0.76</v>
      </c>
      <c r="E30" s="22">
        <f t="shared" si="4"/>
        <v>3.9528216899167576</v>
      </c>
      <c r="F30" s="80">
        <f t="shared" si="5"/>
        <v>0.16546320101859868</v>
      </c>
      <c r="G30" s="22">
        <f t="shared" si="6"/>
        <v>9.4803430830904478</v>
      </c>
      <c r="H30" s="22">
        <v>1.4255655786422683</v>
      </c>
      <c r="I30" t="s">
        <v>166</v>
      </c>
      <c r="J30" s="22">
        <v>13</v>
      </c>
      <c r="K30" s="22">
        <f t="shared" si="15"/>
        <v>-3.5196569169095522</v>
      </c>
      <c r="L30" s="22">
        <f t="shared" si="7"/>
        <v>12</v>
      </c>
      <c r="M30" s="22">
        <v>1.35</v>
      </c>
      <c r="N30" s="22">
        <v>0.04</v>
      </c>
      <c r="O30" s="22">
        <v>0.33398175577987033</v>
      </c>
      <c r="P30" s="22">
        <v>8.9939982366975171E-3</v>
      </c>
      <c r="Q30" s="22">
        <f t="shared" si="8"/>
        <v>53.843040376548956</v>
      </c>
      <c r="R30" s="22">
        <f t="shared" si="9"/>
        <v>8.9912462969717506</v>
      </c>
      <c r="S30" s="80">
        <f t="shared" si="10"/>
        <v>54.58860235400325</v>
      </c>
      <c r="T30" s="22">
        <f t="shared" si="0"/>
        <v>1787.9493041780936</v>
      </c>
      <c r="U30" s="22">
        <f t="shared" si="11"/>
        <v>1700.2600226349562</v>
      </c>
      <c r="V30" s="22">
        <f t="shared" si="12"/>
        <v>301.68328427254619</v>
      </c>
      <c r="W30" s="22">
        <f t="shared" si="13"/>
        <v>1398.57673836241</v>
      </c>
      <c r="X30" s="22">
        <f t="shared" si="1"/>
        <v>46572.605387468247</v>
      </c>
      <c r="Y30" s="23">
        <f t="shared" si="16"/>
        <v>-4.5196569169095522</v>
      </c>
      <c r="Z30">
        <v>55.0443</v>
      </c>
      <c r="AA30">
        <f t="shared" si="14"/>
        <v>7774.7138174083984</v>
      </c>
    </row>
    <row r="31" spans="1:51" x14ac:dyDescent="0.35">
      <c r="A31" s="50">
        <v>20</v>
      </c>
      <c r="B31" s="21">
        <f t="shared" si="2"/>
        <v>35.1</v>
      </c>
      <c r="C31" s="21">
        <v>36</v>
      </c>
      <c r="D31" s="21">
        <f t="shared" si="3"/>
        <v>0.8</v>
      </c>
      <c r="E31" s="22">
        <f t="shared" si="4"/>
        <v>4.1608649367544821</v>
      </c>
      <c r="F31" s="80">
        <f t="shared" si="5"/>
        <v>0.15749386800700124</v>
      </c>
      <c r="G31" s="22">
        <f t="shared" si="6"/>
        <v>9.0237339359916326</v>
      </c>
      <c r="H31" s="22">
        <v>1.3561910915745738</v>
      </c>
      <c r="I31" t="s">
        <v>166</v>
      </c>
      <c r="J31" s="22">
        <v>13</v>
      </c>
      <c r="K31" s="22">
        <f t="shared" si="15"/>
        <v>-3.9762660640083674</v>
      </c>
      <c r="L31" s="22">
        <f t="shared" si="7"/>
        <v>12</v>
      </c>
      <c r="M31" s="22">
        <v>1.35</v>
      </c>
      <c r="N31" s="22">
        <v>0.04</v>
      </c>
      <c r="O31" s="22">
        <v>0.33406941488217351</v>
      </c>
      <c r="P31" s="22">
        <v>7.7898327122745397E-3</v>
      </c>
      <c r="Q31" s="22">
        <f t="shared" si="8"/>
        <v>56.609244610427268</v>
      </c>
      <c r="R31" s="22">
        <f t="shared" si="9"/>
        <v>8.9900628990906579</v>
      </c>
      <c r="S31" s="80">
        <f t="shared" si="10"/>
        <v>57.318651469594045</v>
      </c>
      <c r="T31" s="22">
        <f t="shared" si="0"/>
        <v>1971.2566837756772</v>
      </c>
      <c r="U31" s="22">
        <f t="shared" si="11"/>
        <v>1698.1883431204776</v>
      </c>
      <c r="V31" s="22">
        <f t="shared" si="12"/>
        <v>316.83759473785096</v>
      </c>
      <c r="W31" s="22">
        <f t="shared" si="13"/>
        <v>1381.3507483826265</v>
      </c>
      <c r="X31" s="22">
        <f t="shared" si="1"/>
        <v>48485.411268230193</v>
      </c>
      <c r="Y31" s="23">
        <f t="shared" si="16"/>
        <v>-4.9762660640083674</v>
      </c>
      <c r="Z31">
        <v>57.7712</v>
      </c>
      <c r="AA31">
        <f t="shared" si="14"/>
        <v>8147.3461764800049</v>
      </c>
    </row>
    <row r="32" spans="1:51" x14ac:dyDescent="0.35">
      <c r="A32" s="10">
        <v>21</v>
      </c>
      <c r="B32" s="21">
        <f t="shared" si="2"/>
        <v>36.9</v>
      </c>
      <c r="C32" s="21">
        <v>37.799999999999997</v>
      </c>
      <c r="D32" s="21">
        <f t="shared" si="3"/>
        <v>0.84</v>
      </c>
      <c r="E32" s="22">
        <f t="shared" si="4"/>
        <v>4.3689081835922048</v>
      </c>
      <c r="F32" s="80">
        <f t="shared" si="5"/>
        <v>0.15024840414536911</v>
      </c>
      <c r="G32" s="22">
        <f t="shared" si="6"/>
        <v>8.6085994361055533</v>
      </c>
      <c r="H32" s="22">
        <v>1.293098313262685</v>
      </c>
      <c r="I32" t="s">
        <v>166</v>
      </c>
      <c r="J32" s="22">
        <v>13</v>
      </c>
      <c r="K32" s="22">
        <f t="shared" si="15"/>
        <v>-4.3914005638944467</v>
      </c>
      <c r="L32" s="22">
        <f t="shared" si="7"/>
        <v>12</v>
      </c>
      <c r="M32" s="22">
        <v>1.35</v>
      </c>
      <c r="N32" s="22">
        <v>0.04</v>
      </c>
      <c r="O32" s="22">
        <v>0.33417680804488348</v>
      </c>
      <c r="P32" s="22">
        <v>6.678523130733964E-3</v>
      </c>
      <c r="Q32" s="22">
        <f t="shared" si="8"/>
        <v>59.374161512357112</v>
      </c>
      <c r="R32" s="22">
        <f t="shared" si="9"/>
        <v>8.9886130913940736</v>
      </c>
      <c r="S32" s="80">
        <f t="shared" si="10"/>
        <v>60.050697086730388</v>
      </c>
      <c r="T32" s="22">
        <f t="shared" si="0"/>
        <v>2163.6517323613498</v>
      </c>
      <c r="U32" s="22">
        <f t="shared" si="11"/>
        <v>1696.0886929688354</v>
      </c>
      <c r="V32" s="22">
        <f t="shared" si="12"/>
        <v>331.95528270393964</v>
      </c>
      <c r="W32" s="22">
        <f t="shared" si="13"/>
        <v>1364.1334102648957</v>
      </c>
      <c r="X32" s="22">
        <f t="shared" si="1"/>
        <v>50336.522838774647</v>
      </c>
      <c r="Y32" s="23">
        <f t="shared" si="16"/>
        <v>-5.3914005638944467</v>
      </c>
      <c r="Z32">
        <v>60.505499999999998</v>
      </c>
      <c r="AA32">
        <f t="shared" si="14"/>
        <v>8521.0626548941964</v>
      </c>
    </row>
    <row r="33" spans="1:27" x14ac:dyDescent="0.35">
      <c r="A33" s="10">
        <v>22</v>
      </c>
      <c r="B33" s="21">
        <f t="shared" si="2"/>
        <v>38.700000000000003</v>
      </c>
      <c r="C33" s="21">
        <v>39.6</v>
      </c>
      <c r="D33" s="21">
        <f t="shared" si="3"/>
        <v>0.88</v>
      </c>
      <c r="E33" s="22">
        <f t="shared" si="4"/>
        <v>4.5769514304299301</v>
      </c>
      <c r="F33" s="80">
        <f t="shared" si="5"/>
        <v>0.14363723105293696</v>
      </c>
      <c r="G33" s="22">
        <f t="shared" si="6"/>
        <v>8.2298071202787373</v>
      </c>
      <c r="H33" s="22">
        <v>1.2355547267855744</v>
      </c>
      <c r="I33" t="s">
        <v>165</v>
      </c>
      <c r="J33" s="22">
        <v>12</v>
      </c>
      <c r="K33" s="22">
        <f t="shared" si="15"/>
        <v>-3.7701928797212627</v>
      </c>
      <c r="L33" s="22">
        <f t="shared" si="7"/>
        <v>11</v>
      </c>
      <c r="M33" s="22">
        <v>1.3</v>
      </c>
      <c r="N33" s="22">
        <v>0.04</v>
      </c>
      <c r="O33" s="22">
        <v>0.33433240933753477</v>
      </c>
      <c r="P33" s="22">
        <v>5.5713345417732832E-3</v>
      </c>
      <c r="Q33" s="22">
        <f t="shared" si="8"/>
        <v>62.13309063340909</v>
      </c>
      <c r="R33" s="22">
        <f t="shared" si="9"/>
        <v>8.9865124739432805</v>
      </c>
      <c r="S33" s="80">
        <f t="shared" si="10"/>
        <v>62.77960144906757</v>
      </c>
      <c r="T33" s="22">
        <f t="shared" si="0"/>
        <v>2364.7670148622601</v>
      </c>
      <c r="U33" s="22">
        <f t="shared" si="11"/>
        <v>1631.126260224584</v>
      </c>
      <c r="V33" s="22">
        <f t="shared" si="12"/>
        <v>347.00520895552091</v>
      </c>
      <c r="W33" s="22">
        <f t="shared" si="13"/>
        <v>1284.1210512690632</v>
      </c>
      <c r="X33" s="22">
        <f t="shared" si="1"/>
        <v>49695.484684112751</v>
      </c>
      <c r="Y33" s="23">
        <f t="shared" si="16"/>
        <v>-4.7701928797212627</v>
      </c>
      <c r="Z33">
        <v>63.246432952892903</v>
      </c>
      <c r="AA33">
        <f t="shared" si="14"/>
        <v>8896.241522222992</v>
      </c>
    </row>
    <row r="34" spans="1:27" x14ac:dyDescent="0.35">
      <c r="A34" s="10">
        <v>23</v>
      </c>
      <c r="B34" s="21">
        <f t="shared" si="2"/>
        <v>40.5</v>
      </c>
      <c r="C34" s="21">
        <v>41.4</v>
      </c>
      <c r="D34" s="21">
        <f t="shared" si="3"/>
        <v>0.91999999999999993</v>
      </c>
      <c r="E34" s="22">
        <f t="shared" si="4"/>
        <v>4.7849946772676537</v>
      </c>
      <c r="F34" s="80">
        <f t="shared" si="5"/>
        <v>0.13758951120337801</v>
      </c>
      <c r="G34" s="22">
        <f t="shared" si="6"/>
        <v>7.8832982972215166</v>
      </c>
      <c r="H34" s="22">
        <v>1.1830142831723116</v>
      </c>
      <c r="I34" t="s">
        <v>165</v>
      </c>
      <c r="J34" s="22">
        <v>12</v>
      </c>
      <c r="K34" s="22">
        <f t="shared" si="15"/>
        <v>-4.1167017027784834</v>
      </c>
      <c r="L34" s="22">
        <f t="shared" si="7"/>
        <v>11</v>
      </c>
      <c r="M34" s="22">
        <v>1.3</v>
      </c>
      <c r="N34" s="22">
        <v>0.04</v>
      </c>
      <c r="O34" s="22">
        <v>0.33460622158182624</v>
      </c>
      <c r="P34" s="22">
        <v>4.2902676827929762E-3</v>
      </c>
      <c r="Q34" s="22">
        <f t="shared" si="8"/>
        <v>64.874568401467258</v>
      </c>
      <c r="R34" s="22">
        <f t="shared" si="9"/>
        <v>8.9828160086453472</v>
      </c>
      <c r="S34" s="80">
        <f t="shared" si="10"/>
        <v>65.493515776157793</v>
      </c>
      <c r="T34" s="22">
        <f t="shared" si="0"/>
        <v>2573.6403652330978</v>
      </c>
      <c r="U34" s="22">
        <f t="shared" si="11"/>
        <v>1628.6083397062355</v>
      </c>
      <c r="V34" s="22">
        <f t="shared" si="12"/>
        <v>361.90557284139038</v>
      </c>
      <c r="W34" s="22">
        <f t="shared" si="13"/>
        <v>1266.7027668648452</v>
      </c>
      <c r="X34" s="22">
        <f t="shared" si="1"/>
        <v>51301.462058026234</v>
      </c>
      <c r="Y34" s="23">
        <f t="shared" si="16"/>
        <v>-5.1167017027784834</v>
      </c>
      <c r="Z34">
        <v>65.993012680924707</v>
      </c>
      <c r="AA34">
        <f t="shared" si="14"/>
        <v>9273.8144705133436</v>
      </c>
    </row>
    <row r="35" spans="1:27" x14ac:dyDescent="0.35">
      <c r="A35" s="10">
        <v>24</v>
      </c>
      <c r="B35" s="21">
        <f t="shared" si="2"/>
        <v>42.3</v>
      </c>
      <c r="C35" s="21">
        <v>43.2</v>
      </c>
      <c r="D35" s="21">
        <f t="shared" si="3"/>
        <v>0.96000000000000008</v>
      </c>
      <c r="E35" s="22">
        <f t="shared" si="4"/>
        <v>4.9930379241053782</v>
      </c>
      <c r="F35" s="80">
        <f t="shared" si="5"/>
        <v>0.1320657894028425</v>
      </c>
      <c r="G35" s="22">
        <f t="shared" si="6"/>
        <v>7.566812350846428</v>
      </c>
      <c r="H35" s="22">
        <v>1.1353617821976512</v>
      </c>
      <c r="I35" t="s">
        <v>165</v>
      </c>
      <c r="J35" s="22">
        <v>12</v>
      </c>
      <c r="K35" s="22">
        <f t="shared" si="15"/>
        <v>-4.433187649153572</v>
      </c>
      <c r="L35" s="22">
        <f t="shared" si="7"/>
        <v>11</v>
      </c>
      <c r="M35" s="22">
        <v>1.3</v>
      </c>
      <c r="N35" s="22">
        <v>0.04</v>
      </c>
      <c r="O35" s="22">
        <v>0.33527310531036886</v>
      </c>
      <c r="P35" s="22">
        <v>2.1963825275742631E-3</v>
      </c>
      <c r="Q35" s="22">
        <f t="shared" si="8"/>
        <v>67.554061362378889</v>
      </c>
      <c r="R35" s="22">
        <f t="shared" si="9"/>
        <v>8.9738130783100214</v>
      </c>
      <c r="S35" s="80">
        <f t="shared" si="10"/>
        <v>68.147490986216795</v>
      </c>
      <c r="T35" s="22">
        <f t="shared" si="0"/>
        <v>2786.4483166298992</v>
      </c>
      <c r="U35" s="22">
        <f t="shared" si="11"/>
        <v>1624.7143583723255</v>
      </c>
      <c r="V35" s="22">
        <f t="shared" si="12"/>
        <v>376.32936053118942</v>
      </c>
      <c r="W35" s="22">
        <f t="shared" si="13"/>
        <v>1248.3849978411361</v>
      </c>
      <c r="X35" s="22">
        <f t="shared" si="1"/>
        <v>52806.685408680052</v>
      </c>
      <c r="Y35" s="23">
        <f t="shared" si="16"/>
        <v>-5.433187649153572</v>
      </c>
      <c r="Z35">
        <v>68.744603064028297</v>
      </c>
      <c r="AA35">
        <f t="shared" si="14"/>
        <v>9657.9286721050121</v>
      </c>
    </row>
    <row r="36" spans="1:27" x14ac:dyDescent="0.35">
      <c r="A36" s="10">
        <v>25</v>
      </c>
      <c r="B36" s="21">
        <f t="shared" si="2"/>
        <v>44.1</v>
      </c>
      <c r="C36" s="21">
        <v>45</v>
      </c>
      <c r="D36" s="21">
        <f t="shared" si="3"/>
        <v>1</v>
      </c>
      <c r="E36" s="53">
        <f t="shared" si="4"/>
        <v>5.2010811709431026</v>
      </c>
      <c r="F36" s="80">
        <f t="shared" si="5"/>
        <v>0.12680737591105598</v>
      </c>
      <c r="G36" s="22">
        <f t="shared" si="6"/>
        <v>7.2655274508324101</v>
      </c>
      <c r="H36" s="22">
        <v>1.0886318856675588</v>
      </c>
      <c r="I36" t="s">
        <v>165</v>
      </c>
      <c r="J36" s="22">
        <v>12</v>
      </c>
      <c r="K36" s="22">
        <f t="shared" si="15"/>
        <v>-4.7344725491675899</v>
      </c>
      <c r="L36" s="22">
        <f t="shared" si="7"/>
        <v>11</v>
      </c>
      <c r="M36" s="22">
        <v>1.3</v>
      </c>
      <c r="N36" s="22">
        <v>0.04</v>
      </c>
      <c r="O36" s="22">
        <v>0.33527310531036886</v>
      </c>
      <c r="P36" s="22">
        <v>2.4633299873436081E-3</v>
      </c>
      <c r="Q36" s="80">
        <f t="shared" si="8"/>
        <v>70.387557527134277</v>
      </c>
      <c r="R36" s="81">
        <f t="shared" si="9"/>
        <v>8.9738130783100214</v>
      </c>
      <c r="S36" s="80">
        <f t="shared" si="10"/>
        <v>70.9572940281694</v>
      </c>
      <c r="T36" s="22">
        <f t="shared" si="0"/>
        <v>3020.9625454800507</v>
      </c>
      <c r="U36" s="22">
        <f t="shared" si="11"/>
        <v>1622.0751545289074</v>
      </c>
      <c r="V36" s="22">
        <f t="shared" si="12"/>
        <v>391.47721266276767</v>
      </c>
      <c r="W36" s="22">
        <f t="shared" si="13"/>
        <v>1230.5979418661398</v>
      </c>
      <c r="X36" s="22">
        <f t="shared" si="1"/>
        <v>54269.369236296763</v>
      </c>
      <c r="Y36" s="23">
        <f t="shared" si="16"/>
        <v>-5.7344725491675899</v>
      </c>
      <c r="Z36">
        <v>71.500625622739605</v>
      </c>
      <c r="AA36">
        <f t="shared" si="14"/>
        <v>10017.820352428995</v>
      </c>
    </row>
    <row r="38" spans="1:27" x14ac:dyDescent="0.35">
      <c r="V38" s="115" t="s">
        <v>94</v>
      </c>
      <c r="W38" s="115"/>
      <c r="X38" s="115"/>
    </row>
    <row r="39" spans="1:27" x14ac:dyDescent="0.35">
      <c r="V39" s="116" t="s">
        <v>95</v>
      </c>
      <c r="W39" s="33">
        <f>SUM(X12:X36)</f>
        <v>777139.87640584435</v>
      </c>
      <c r="X39" s="33"/>
    </row>
    <row r="40" spans="1:27" x14ac:dyDescent="0.35">
      <c r="V40" s="116"/>
      <c r="W40" s="33">
        <f>W39-(X12/2)-(X36/2)</f>
        <v>750005.19178769598</v>
      </c>
      <c r="X40" s="33"/>
    </row>
    <row r="41" spans="1:27" x14ac:dyDescent="0.35">
      <c r="V41" s="113" t="s">
        <v>96</v>
      </c>
      <c r="W41" s="114">
        <f>W40*1.728</f>
        <v>1296008.9714091385</v>
      </c>
      <c r="X41" s="114" t="s">
        <v>97</v>
      </c>
    </row>
    <row r="42" spans="1:27" x14ac:dyDescent="0.35">
      <c r="V42" s="113"/>
      <c r="W42" s="114"/>
      <c r="X42" s="114"/>
    </row>
    <row r="43" spans="1:27" x14ac:dyDescent="0.35">
      <c r="W43">
        <v>1281786</v>
      </c>
    </row>
    <row r="45" spans="1:27" x14ac:dyDescent="0.35">
      <c r="W45">
        <f>W41-W43</f>
        <v>14222.971409138525</v>
      </c>
    </row>
    <row r="54" spans="1:29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9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9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9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9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C58" s="60"/>
    </row>
    <row r="59" spans="1:29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C59" s="60"/>
    </row>
    <row r="60" spans="1:29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C60" s="60"/>
    </row>
    <row r="61" spans="1:29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C61" s="60"/>
    </row>
    <row r="62" spans="1:29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C62" s="60"/>
    </row>
    <row r="63" spans="1:29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C63" s="60"/>
    </row>
    <row r="64" spans="1:29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C64" s="60"/>
    </row>
    <row r="65" spans="1:29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C65" s="60"/>
    </row>
    <row r="66" spans="1:29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C66" s="60"/>
    </row>
    <row r="67" spans="1:29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C67" s="60"/>
    </row>
    <row r="68" spans="1:29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C68" s="60"/>
    </row>
    <row r="69" spans="1:29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C69" s="60"/>
    </row>
    <row r="70" spans="1:29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C70" s="60"/>
    </row>
    <row r="71" spans="1:29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C71" s="60"/>
    </row>
    <row r="72" spans="1:29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C72" s="60"/>
    </row>
    <row r="73" spans="1:29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C73" s="60"/>
    </row>
    <row r="74" spans="1:29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C74" s="60"/>
    </row>
    <row r="75" spans="1:29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C75" s="60"/>
    </row>
    <row r="76" spans="1:29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C76" s="60"/>
    </row>
    <row r="77" spans="1:29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C77" s="60"/>
    </row>
    <row r="78" spans="1:29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C78" s="60"/>
    </row>
    <row r="79" spans="1:29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C79" s="60"/>
    </row>
    <row r="80" spans="1:29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C80" s="60"/>
    </row>
    <row r="81" spans="1:29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C81" s="60"/>
    </row>
    <row r="82" spans="1:29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C82" s="60"/>
    </row>
    <row r="83" spans="1:29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:29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:29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 t="s">
        <v>94</v>
      </c>
      <c r="Y85" s="55"/>
      <c r="Z85" s="55"/>
      <c r="AA85" s="55"/>
    </row>
    <row r="86" spans="1:29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 t="s">
        <v>95</v>
      </c>
      <c r="Y86" s="55">
        <f>SUM(AA58:AA82)</f>
        <v>0</v>
      </c>
      <c r="Z86" s="55"/>
      <c r="AA86" s="55"/>
    </row>
    <row r="87" spans="1:29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>
        <f>Y86-(AA58/2)-(AA82/2)</f>
        <v>0</v>
      </c>
      <c r="Z87" s="55"/>
      <c r="AA87" s="55"/>
    </row>
    <row r="88" spans="1:29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 t="s">
        <v>96</v>
      </c>
      <c r="Y88" s="55">
        <f>Y87*1.8</f>
        <v>0</v>
      </c>
      <c r="Z88" s="55" t="s">
        <v>97</v>
      </c>
      <c r="AA88" s="55"/>
    </row>
    <row r="89" spans="1:29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</sheetData>
  <mergeCells count="6">
    <mergeCell ref="V38:X38"/>
    <mergeCell ref="V39:V40"/>
    <mergeCell ref="I3:N3"/>
    <mergeCell ref="V41:V42"/>
    <mergeCell ref="W41:W42"/>
    <mergeCell ref="X41:X4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ABD676B1414E4BBC79F4D91AD9A396" ma:contentTypeVersion="10" ma:contentTypeDescription="Create a new document." ma:contentTypeScope="" ma:versionID="fc32595f01f81f99c9307877a4d35180">
  <xsd:schema xmlns:xsd="http://www.w3.org/2001/XMLSchema" xmlns:xs="http://www.w3.org/2001/XMLSchema" xmlns:p="http://schemas.microsoft.com/office/2006/metadata/properties" xmlns:ns2="24736845-baf2-4197-9021-7ae65e52b0fc" targetNamespace="http://schemas.microsoft.com/office/2006/metadata/properties" ma:root="true" ma:fieldsID="eefa6a53ee2aad5ecf40e0d5a2ca721a" ns2:_="">
    <xsd:import namespace="24736845-baf2-4197-9021-7ae65e52b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36845-baf2-4197-9021-7ae65e52b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458DEC-A5CF-43B2-9124-374377110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736845-baf2-4197-9021-7ae65e52b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4AFEB4-8984-4AE5-B50E-2B46F3051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A6C767-D773-46DA-900D-0645E2757A8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R40.1_blade chord</vt:lpstr>
      <vt:lpstr>25 blade sections</vt:lpstr>
      <vt:lpstr>iTERATIONS</vt:lpstr>
      <vt:lpstr>with corrections</vt:lpstr>
      <vt:lpstr>a,ad(BEM)</vt:lpstr>
      <vt:lpstr>Aerofoil</vt:lpstr>
      <vt:lpstr>MATLAB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Dimple</dc:creator>
  <cp:keywords/>
  <dc:description/>
  <cp:lastModifiedBy>Dimple</cp:lastModifiedBy>
  <cp:revision/>
  <dcterms:created xsi:type="dcterms:W3CDTF">2021-08-03T13:05:44Z</dcterms:created>
  <dcterms:modified xsi:type="dcterms:W3CDTF">2021-09-20T12:21:29Z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0x01010054ABD676B1414E4BBC79F4D91AD9A396</vt:lpwstr>
  </property>
</Properties>
</file>