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ARAS\"/>
    </mc:Choice>
  </mc:AlternateContent>
  <xr:revisionPtr revIDLastSave="0" documentId="13_ncr:1_{4510F998-15C9-4D5A-A486-3FB980C2F434}" xr6:coauthVersionLast="47" xr6:coauthVersionMax="47" xr10:uidLastSave="{00000000-0000-0000-0000-000000000000}"/>
  <bookViews>
    <workbookView xWindow="-120" yWindow="-120" windowWidth="15600" windowHeight="11160" firstSheet="6" activeTab="11" xr2:uid="{B7E1C118-250A-402F-81D1-4A2C198C9A06}"/>
  </bookViews>
  <sheets>
    <sheet name="Salary Slip" sheetId="1" r:id="rId1"/>
    <sheet name="Profile Sheet" sheetId="2" r:id="rId2"/>
    <sheet name="Bill Slip" sheetId="3" r:id="rId3"/>
    <sheet name="formulas" sheetId="4" r:id="rId4"/>
    <sheet name="commission" sheetId="5" r:id="rId5"/>
    <sheet name="sales statement" sheetId="6" r:id="rId6"/>
    <sheet name="statement" sheetId="7" r:id="rId7"/>
    <sheet name="employees" sheetId="8" r:id="rId8"/>
    <sheet name="pivot" sheetId="9" r:id="rId9"/>
    <sheet name="v&amp;h" sheetId="10" r:id="rId10"/>
    <sheet name="tax" sheetId="11" r:id="rId11"/>
    <sheet name="fee receipt" sheetId="12" r:id="rId12"/>
  </sheets>
  <calcPr calcId="181029"/>
  <pivotCaches>
    <pivotCache cacheId="0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11" l="1"/>
  <c r="M24" i="11"/>
  <c r="K24" i="11"/>
  <c r="J24" i="11"/>
  <c r="I24" i="11"/>
  <c r="H24" i="11"/>
  <c r="G24" i="11"/>
  <c r="F24" i="11"/>
  <c r="F23" i="11"/>
  <c r="F22" i="11"/>
  <c r="F21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5" i="11"/>
  <c r="G6" i="11"/>
  <c r="G7" i="11"/>
  <c r="G8" i="11"/>
  <c r="J8" i="11" s="1"/>
  <c r="K8" i="11" s="1"/>
  <c r="G9" i="11"/>
  <c r="G10" i="11"/>
  <c r="G11" i="11"/>
  <c r="G12" i="11"/>
  <c r="J12" i="11" s="1"/>
  <c r="K12" i="11" s="1"/>
  <c r="G13" i="11"/>
  <c r="G14" i="11"/>
  <c r="G15" i="11"/>
  <c r="G16" i="11"/>
  <c r="J16" i="11" s="1"/>
  <c r="K16" i="11" s="1"/>
  <c r="G17" i="11"/>
  <c r="G18" i="11"/>
  <c r="G19" i="11"/>
  <c r="G5" i="11"/>
  <c r="J5" i="11" s="1"/>
  <c r="K5" i="11" s="1"/>
  <c r="Q5" i="8"/>
  <c r="I10" i="10"/>
  <c r="I9" i="10"/>
  <c r="I8" i="10"/>
  <c r="D15" i="10"/>
  <c r="C15" i="10"/>
  <c r="B15" i="10"/>
  <c r="Q14" i="8"/>
  <c r="Q13" i="8"/>
  <c r="Q12" i="8"/>
  <c r="Q11" i="8"/>
  <c r="Q10" i="8"/>
  <c r="Q9" i="8"/>
  <c r="Q8" i="8"/>
  <c r="Q7" i="8"/>
  <c r="Q6" i="8"/>
  <c r="N6" i="8"/>
  <c r="O6" i="8" s="1"/>
  <c r="N7" i="8"/>
  <c r="O7" i="8" s="1"/>
  <c r="N8" i="8"/>
  <c r="O8" i="8" s="1"/>
  <c r="N9" i="8"/>
  <c r="O9" i="8" s="1"/>
  <c r="N10" i="8"/>
  <c r="O10" i="8" s="1"/>
  <c r="N11" i="8"/>
  <c r="O11" i="8" s="1"/>
  <c r="N12" i="8"/>
  <c r="O12" i="8" s="1"/>
  <c r="N13" i="8"/>
  <c r="O13" i="8" s="1"/>
  <c r="N14" i="8"/>
  <c r="O14" i="8" s="1"/>
  <c r="N5" i="8"/>
  <c r="O5" i="8" s="1"/>
  <c r="L6" i="8"/>
  <c r="M6" i="8" s="1"/>
  <c r="L7" i="8"/>
  <c r="M7" i="8" s="1"/>
  <c r="L8" i="8"/>
  <c r="M8" i="8" s="1"/>
  <c r="L9" i="8"/>
  <c r="M9" i="8" s="1"/>
  <c r="L10" i="8"/>
  <c r="M10" i="8" s="1"/>
  <c r="L11" i="8"/>
  <c r="M11" i="8" s="1"/>
  <c r="L12" i="8"/>
  <c r="M12" i="8" s="1"/>
  <c r="L13" i="8"/>
  <c r="M13" i="8" s="1"/>
  <c r="L14" i="8"/>
  <c r="M14" i="8" s="1"/>
  <c r="L5" i="8"/>
  <c r="M5" i="8" s="1"/>
  <c r="K6" i="8"/>
  <c r="K7" i="8"/>
  <c r="K8" i="8"/>
  <c r="P8" i="8" s="1"/>
  <c r="K9" i="8"/>
  <c r="P9" i="8" s="1"/>
  <c r="K10" i="8"/>
  <c r="K11" i="8"/>
  <c r="K12" i="8"/>
  <c r="P12" i="8" s="1"/>
  <c r="K13" i="8"/>
  <c r="P13" i="8" s="1"/>
  <c r="K14" i="8"/>
  <c r="K5" i="8"/>
  <c r="J10" i="6"/>
  <c r="I7" i="6"/>
  <c r="J7" i="6" s="1"/>
  <c r="I10" i="6"/>
  <c r="I11" i="6"/>
  <c r="J11" i="6" s="1"/>
  <c r="H7" i="6"/>
  <c r="H8" i="6"/>
  <c r="H9" i="6"/>
  <c r="H10" i="6"/>
  <c r="H11" i="6"/>
  <c r="H12" i="6"/>
  <c r="H6" i="6"/>
  <c r="G7" i="6"/>
  <c r="G8" i="6"/>
  <c r="I8" i="6" s="1"/>
  <c r="J8" i="6" s="1"/>
  <c r="G9" i="6"/>
  <c r="I9" i="6" s="1"/>
  <c r="J9" i="6" s="1"/>
  <c r="G10" i="6"/>
  <c r="G11" i="6"/>
  <c r="G12" i="6"/>
  <c r="I12" i="6" s="1"/>
  <c r="J12" i="6" s="1"/>
  <c r="G6" i="6"/>
  <c r="I6" i="6" s="1"/>
  <c r="P18" i="5"/>
  <c r="P17" i="5"/>
  <c r="P16" i="5"/>
  <c r="P15" i="5"/>
  <c r="P14" i="5"/>
  <c r="P10" i="5"/>
  <c r="E9" i="5"/>
  <c r="H9" i="5" s="1"/>
  <c r="E10" i="5"/>
  <c r="H10" i="5" s="1"/>
  <c r="E11" i="5"/>
  <c r="F11" i="5" s="1"/>
  <c r="E12" i="5"/>
  <c r="F12" i="5" s="1"/>
  <c r="E13" i="5"/>
  <c r="H13" i="5" s="1"/>
  <c r="E14" i="5"/>
  <c r="F14" i="5" s="1"/>
  <c r="E15" i="5"/>
  <c r="F15" i="5" s="1"/>
  <c r="E16" i="5"/>
  <c r="F16" i="5" s="1"/>
  <c r="E17" i="5"/>
  <c r="H17" i="5" s="1"/>
  <c r="E18" i="5"/>
  <c r="F18" i="5" s="1"/>
  <c r="E8" i="5"/>
  <c r="F8" i="5" s="1"/>
  <c r="J13" i="4"/>
  <c r="J12" i="4"/>
  <c r="J11" i="4"/>
  <c r="J10" i="4"/>
  <c r="J9" i="4"/>
  <c r="J8" i="4"/>
  <c r="J7" i="4"/>
  <c r="G14" i="3"/>
  <c r="G13" i="3"/>
  <c r="G12" i="3"/>
  <c r="G11" i="3"/>
  <c r="G10" i="3"/>
  <c r="H8" i="1"/>
  <c r="H9" i="1"/>
  <c r="H10" i="1"/>
  <c r="H11" i="1"/>
  <c r="H12" i="1"/>
  <c r="H13" i="1"/>
  <c r="H7" i="1"/>
  <c r="G8" i="1"/>
  <c r="G9" i="1"/>
  <c r="G10" i="1"/>
  <c r="G11" i="1"/>
  <c r="G12" i="1"/>
  <c r="G13" i="1"/>
  <c r="G7" i="1"/>
  <c r="F8" i="1"/>
  <c r="I8" i="1" s="1"/>
  <c r="J8" i="1" s="1"/>
  <c r="F9" i="1"/>
  <c r="I9" i="1" s="1"/>
  <c r="J9" i="1" s="1"/>
  <c r="F10" i="1"/>
  <c r="I10" i="1" s="1"/>
  <c r="J10" i="1" s="1"/>
  <c r="F11" i="1"/>
  <c r="I11" i="1" s="1"/>
  <c r="K11" i="1" s="1"/>
  <c r="F12" i="1"/>
  <c r="I12" i="1" s="1"/>
  <c r="J12" i="1" s="1"/>
  <c r="F13" i="1"/>
  <c r="I13" i="1" s="1"/>
  <c r="J13" i="1" s="1"/>
  <c r="F7" i="1"/>
  <c r="I7" i="1" s="1"/>
  <c r="J7" i="1" s="1"/>
  <c r="J19" i="11" l="1"/>
  <c r="K19" i="11" s="1"/>
  <c r="J15" i="11"/>
  <c r="K15" i="11" s="1"/>
  <c r="L15" i="11" s="1"/>
  <c r="M15" i="11" s="1"/>
  <c r="N15" i="11" s="1"/>
  <c r="J11" i="11"/>
  <c r="K11" i="11" s="1"/>
  <c r="J7" i="11"/>
  <c r="K7" i="11" s="1"/>
  <c r="J18" i="11"/>
  <c r="K18" i="11" s="1"/>
  <c r="H22" i="11"/>
  <c r="J14" i="11"/>
  <c r="K14" i="11" s="1"/>
  <c r="J10" i="11"/>
  <c r="K10" i="11" s="1"/>
  <c r="M10" i="11" s="1"/>
  <c r="N10" i="11" s="1"/>
  <c r="J6" i="11"/>
  <c r="I23" i="11"/>
  <c r="H23" i="11"/>
  <c r="K6" i="11"/>
  <c r="G22" i="11"/>
  <c r="G23" i="11"/>
  <c r="I22" i="11"/>
  <c r="J17" i="11"/>
  <c r="K17" i="11" s="1"/>
  <c r="J13" i="11"/>
  <c r="K13" i="11" s="1"/>
  <c r="L13" i="11" s="1"/>
  <c r="M13" i="11" s="1"/>
  <c r="N13" i="11" s="1"/>
  <c r="J9" i="11"/>
  <c r="K9" i="11" s="1"/>
  <c r="K23" i="11" s="1"/>
  <c r="H21" i="11"/>
  <c r="G21" i="11"/>
  <c r="I21" i="11"/>
  <c r="L19" i="11"/>
  <c r="M19" i="11" s="1"/>
  <c r="N19" i="11" s="1"/>
  <c r="L11" i="11"/>
  <c r="M11" i="11" s="1"/>
  <c r="N11" i="11" s="1"/>
  <c r="L7" i="11"/>
  <c r="M7" i="11" s="1"/>
  <c r="N7" i="11" s="1"/>
  <c r="L18" i="11"/>
  <c r="M18" i="11" s="1"/>
  <c r="N18" i="11" s="1"/>
  <c r="L14" i="11"/>
  <c r="M14" i="11" s="1"/>
  <c r="N14" i="11" s="1"/>
  <c r="L10" i="11"/>
  <c r="L17" i="11"/>
  <c r="M17" i="11" s="1"/>
  <c r="N17" i="11" s="1"/>
  <c r="M5" i="11"/>
  <c r="N5" i="11"/>
  <c r="L5" i="11"/>
  <c r="L16" i="11"/>
  <c r="M16" i="11" s="1"/>
  <c r="N16" i="11" s="1"/>
  <c r="L12" i="11"/>
  <c r="M12" i="11" s="1"/>
  <c r="N12" i="11" s="1"/>
  <c r="M8" i="11"/>
  <c r="N8" i="11" s="1"/>
  <c r="L8" i="11"/>
  <c r="L6" i="11"/>
  <c r="M6" i="11" s="1"/>
  <c r="N6" i="11" s="1"/>
  <c r="P14" i="8"/>
  <c r="P10" i="8"/>
  <c r="P6" i="8"/>
  <c r="P5" i="8"/>
  <c r="P11" i="8"/>
  <c r="P7" i="8"/>
  <c r="J6" i="6"/>
  <c r="I15" i="6"/>
  <c r="J11" i="1"/>
  <c r="K7" i="1"/>
  <c r="K10" i="1"/>
  <c r="K13" i="1"/>
  <c r="K9" i="1"/>
  <c r="K12" i="1"/>
  <c r="K8" i="1"/>
  <c r="P9" i="5"/>
  <c r="P8" i="5"/>
  <c r="P6" i="5"/>
  <c r="P7" i="5"/>
  <c r="H16" i="5"/>
  <c r="H12" i="5"/>
  <c r="H8" i="5"/>
  <c r="H15" i="5"/>
  <c r="H11" i="5"/>
  <c r="H18" i="5"/>
  <c r="H14" i="5"/>
  <c r="G18" i="5"/>
  <c r="G14" i="5"/>
  <c r="F10" i="5"/>
  <c r="G10" i="5" s="1"/>
  <c r="F17" i="5"/>
  <c r="G17" i="5" s="1"/>
  <c r="F13" i="5"/>
  <c r="G13" i="5" s="1"/>
  <c r="F9" i="5"/>
  <c r="G9" i="5" s="1"/>
  <c r="G16" i="5"/>
  <c r="G12" i="5"/>
  <c r="G8" i="5"/>
  <c r="G15" i="5"/>
  <c r="G11" i="5"/>
  <c r="G16" i="3"/>
  <c r="G17" i="3" s="1"/>
  <c r="G18" i="3" s="1"/>
  <c r="G19" i="3" s="1"/>
  <c r="L9" i="11" l="1"/>
  <c r="K21" i="11"/>
  <c r="J22" i="11"/>
  <c r="J21" i="11"/>
  <c r="K22" i="11"/>
  <c r="J23" i="11"/>
  <c r="M9" i="11"/>
  <c r="N9" i="11" s="1"/>
  <c r="I17" i="6"/>
  <c r="I16" i="6"/>
  <c r="P11" i="5"/>
  <c r="P13" i="5"/>
  <c r="P12" i="5"/>
  <c r="G20" i="3"/>
  <c r="M21" i="11" l="1"/>
  <c r="N23" i="11"/>
  <c r="N21" i="11"/>
  <c r="N22" i="11"/>
  <c r="M23" i="11"/>
  <c r="M22" i="11"/>
</calcChain>
</file>

<file path=xl/sharedStrings.xml><?xml version="1.0" encoding="utf-8"?>
<sst xmlns="http://schemas.openxmlformats.org/spreadsheetml/2006/main" count="435" uniqueCount="301">
  <si>
    <t>Sr. No.</t>
  </si>
  <si>
    <t>Name</t>
  </si>
  <si>
    <t>Basic Salary</t>
  </si>
  <si>
    <t>Designation</t>
  </si>
  <si>
    <t>DA(15%)</t>
  </si>
  <si>
    <t>HRA(10%)</t>
  </si>
  <si>
    <t>PF(5%)</t>
  </si>
  <si>
    <t>Total</t>
  </si>
  <si>
    <t>YRL Total</t>
  </si>
  <si>
    <t>Pooja Patel</t>
  </si>
  <si>
    <t>Jay Shah</t>
  </si>
  <si>
    <t>Ronit Patel</t>
  </si>
  <si>
    <t>Heer Desai</t>
  </si>
  <si>
    <t>Riya Shah</t>
  </si>
  <si>
    <t>Aditya Dave</t>
  </si>
  <si>
    <t>Varsha Patel</t>
  </si>
  <si>
    <t>Manager</t>
  </si>
  <si>
    <t>SM</t>
  </si>
  <si>
    <t>BM</t>
  </si>
  <si>
    <t>Comp. Op.</t>
  </si>
  <si>
    <t>Peon</t>
  </si>
  <si>
    <t>Net Salary</t>
  </si>
  <si>
    <t>Doctor  Profile  Sheet</t>
  </si>
  <si>
    <t>Name:</t>
  </si>
  <si>
    <t>HQ:</t>
  </si>
  <si>
    <t>Place of Working</t>
  </si>
  <si>
    <t xml:space="preserve">   Varsha Patel</t>
  </si>
  <si>
    <t xml:space="preserve">   Surat</t>
  </si>
  <si>
    <t>Town/ Dist. :</t>
  </si>
  <si>
    <t>Code No.</t>
  </si>
  <si>
    <t>SPC</t>
  </si>
  <si>
    <t>IDEA</t>
  </si>
  <si>
    <t>CBL</t>
  </si>
  <si>
    <t>Date of visit</t>
  </si>
  <si>
    <t>Jan/Feb</t>
  </si>
  <si>
    <t>Mar/Ap</t>
  </si>
  <si>
    <t>May/June</t>
  </si>
  <si>
    <t>July/Aug</t>
  </si>
  <si>
    <t>Sept/Oct</t>
  </si>
  <si>
    <t>Nov/Dec</t>
  </si>
  <si>
    <t>Dr. Ajit Vadekar</t>
  </si>
  <si>
    <t>Dr.Dimple Shah</t>
  </si>
  <si>
    <t>Items</t>
  </si>
  <si>
    <t>Qty.</t>
  </si>
  <si>
    <t>Price</t>
  </si>
  <si>
    <t>Jeans</t>
  </si>
  <si>
    <t>Shirt</t>
  </si>
  <si>
    <t>Tee</t>
  </si>
  <si>
    <t>Shorts</t>
  </si>
  <si>
    <t>Cap</t>
  </si>
  <si>
    <t>+</t>
  </si>
  <si>
    <t>-</t>
  </si>
  <si>
    <t>Disc. (15%)</t>
  </si>
  <si>
    <t>GST (8%)</t>
  </si>
  <si>
    <t>mo: 9875536788</t>
  </si>
  <si>
    <t>BS 954836</t>
  </si>
  <si>
    <t>Payable</t>
  </si>
  <si>
    <t>QR Pay:</t>
  </si>
  <si>
    <t>D: 18/08/24</t>
  </si>
  <si>
    <t>Dr. Keyur kopikar</t>
  </si>
  <si>
    <t>Dr. V.K.Malhotra</t>
  </si>
  <si>
    <t>Dr. P.R.Desai</t>
  </si>
  <si>
    <t>Dr. Ajay Jaguwala</t>
  </si>
  <si>
    <t>Dr. Manoj Pal</t>
  </si>
  <si>
    <t>Dr. Gaurang Shah</t>
  </si>
  <si>
    <t>Dr. Priti Jariwala</t>
  </si>
  <si>
    <t>Dr. Jyoti Jariwala</t>
  </si>
  <si>
    <t>Asthet Clothing</t>
  </si>
  <si>
    <t>Adajan, Surat. 395005</t>
  </si>
  <si>
    <t xml:space="preserve">                                 Near Sahaj Icon complex, Prime Arcade,         </t>
  </si>
  <si>
    <t>Branch</t>
  </si>
  <si>
    <t>Month</t>
  </si>
  <si>
    <t>Sales</t>
  </si>
  <si>
    <t>Margo</t>
  </si>
  <si>
    <t>Panjim</t>
  </si>
  <si>
    <t>Udupi</t>
  </si>
  <si>
    <t>Manglore</t>
  </si>
  <si>
    <t>Manipal</t>
  </si>
  <si>
    <t>Banglore</t>
  </si>
  <si>
    <t>January</t>
  </si>
  <si>
    <t>March</t>
  </si>
  <si>
    <t>Febuary</t>
  </si>
  <si>
    <t>Sum of Sales Till 2500</t>
  </si>
  <si>
    <t>Sum of Sales Above 2500</t>
  </si>
  <si>
    <t>Count of Manipal</t>
  </si>
  <si>
    <t>Count of Febuary</t>
  </si>
  <si>
    <t>Count of Sales Above 3000</t>
  </si>
  <si>
    <t>Total Margo Sales</t>
  </si>
  <si>
    <t>Total March Sales</t>
  </si>
  <si>
    <t>sum</t>
  </si>
  <si>
    <t>sumif</t>
  </si>
  <si>
    <t>count</t>
  </si>
  <si>
    <t>countif</t>
  </si>
  <si>
    <t>countA</t>
  </si>
  <si>
    <t>countblank</t>
  </si>
  <si>
    <t>formula/conditions</t>
  </si>
  <si>
    <t>Item Code</t>
  </si>
  <si>
    <t>Units</t>
  </si>
  <si>
    <t>Commision</t>
  </si>
  <si>
    <t>(%)</t>
  </si>
  <si>
    <r>
      <t>(</t>
    </r>
    <r>
      <rPr>
        <sz val="11"/>
        <color theme="1"/>
        <rFont val="Calibri"/>
        <family val="2"/>
      </rPr>
      <t>₹)</t>
    </r>
  </si>
  <si>
    <t>Remarks</t>
  </si>
  <si>
    <t>Total Sales</t>
  </si>
  <si>
    <t>Highest Sales</t>
  </si>
  <si>
    <t>Lowest Sales</t>
  </si>
  <si>
    <t>Average Sales</t>
  </si>
  <si>
    <t>Count of EXCELLENT</t>
  </si>
  <si>
    <t>Count of GOOD</t>
  </si>
  <si>
    <t>Count of POOR</t>
  </si>
  <si>
    <t>Average Price</t>
  </si>
  <si>
    <t>Count of Price&gt;3</t>
  </si>
  <si>
    <t>Total Commission of EXCELLENT</t>
  </si>
  <si>
    <t>Total Commission of GOOD</t>
  </si>
  <si>
    <t>Total Units Sold</t>
  </si>
  <si>
    <t>Sales Report</t>
  </si>
  <si>
    <t>D:31/08/24</t>
  </si>
  <si>
    <t>Count of Units&gt;1500</t>
  </si>
  <si>
    <t>Date</t>
  </si>
  <si>
    <t>Bill No.</t>
  </si>
  <si>
    <t>Customer Name</t>
  </si>
  <si>
    <t>Bill Amt.</t>
  </si>
  <si>
    <t>VAT</t>
  </si>
  <si>
    <t>Wages</t>
  </si>
  <si>
    <t>Net Amt.</t>
  </si>
  <si>
    <t>A-101</t>
  </si>
  <si>
    <t>A-102</t>
  </si>
  <si>
    <t>A-103</t>
  </si>
  <si>
    <t>A-104</t>
  </si>
  <si>
    <t>A-105</t>
  </si>
  <si>
    <t>A-106</t>
  </si>
  <si>
    <t>A-107</t>
  </si>
  <si>
    <t>Anurag Desai</t>
  </si>
  <si>
    <t>Vipul Patel</t>
  </si>
  <si>
    <t>AK Traders</t>
  </si>
  <si>
    <t>Himalaya Traders</t>
  </si>
  <si>
    <t>BK Patel</t>
  </si>
  <si>
    <t>Atul Industries</t>
  </si>
  <si>
    <t>Suhag Studio</t>
  </si>
  <si>
    <t>Total Net Amount</t>
  </si>
  <si>
    <t>No. of EXCELLENT Debtors</t>
  </si>
  <si>
    <t>No. of GOOD Debtors</t>
  </si>
  <si>
    <t>Soap</t>
  </si>
  <si>
    <t>Toothpaste</t>
  </si>
  <si>
    <t>Detergent</t>
  </si>
  <si>
    <t>Cinthol</t>
  </si>
  <si>
    <t>Ganga</t>
  </si>
  <si>
    <t>Camay</t>
  </si>
  <si>
    <t>Colgate</t>
  </si>
  <si>
    <t>Pomise</t>
  </si>
  <si>
    <t>Close-up</t>
  </si>
  <si>
    <t>Babool</t>
  </si>
  <si>
    <t>Rin</t>
  </si>
  <si>
    <t>Wheel</t>
  </si>
  <si>
    <t>Vim</t>
  </si>
  <si>
    <t>Lux</t>
  </si>
  <si>
    <t>Surf</t>
  </si>
  <si>
    <t>These are</t>
  </si>
  <si>
    <t>available</t>
  </si>
  <si>
    <t>easily in</t>
  </si>
  <si>
    <t>These are the</t>
  </si>
  <si>
    <t>any shop</t>
  </si>
  <si>
    <t>generally used</t>
  </si>
  <si>
    <t>by the people</t>
  </si>
  <si>
    <t>in cities/towns</t>
  </si>
  <si>
    <t>detergents</t>
  </si>
  <si>
    <t>toothpastes</t>
  </si>
  <si>
    <t>the soaps</t>
  </si>
  <si>
    <t>used to wash</t>
  </si>
  <si>
    <t>hold articles</t>
  </si>
  <si>
    <t>clothes/house-</t>
  </si>
  <si>
    <t>Age</t>
  </si>
  <si>
    <t>Sex</t>
  </si>
  <si>
    <t>Blood Type</t>
  </si>
  <si>
    <t>Height</t>
  </si>
  <si>
    <t>Weight</t>
  </si>
  <si>
    <t>Date of Joined</t>
  </si>
  <si>
    <t>Basic</t>
  </si>
  <si>
    <t>HRA</t>
  </si>
  <si>
    <t>Bonus</t>
  </si>
  <si>
    <t>PF</t>
  </si>
  <si>
    <t>Net Pay</t>
  </si>
  <si>
    <t>Total Years</t>
  </si>
  <si>
    <t>Emual</t>
  </si>
  <si>
    <t>John</t>
  </si>
  <si>
    <t>Lydia</t>
  </si>
  <si>
    <t>Delna</t>
  </si>
  <si>
    <t>Bill</t>
  </si>
  <si>
    <t>Stanile</t>
  </si>
  <si>
    <t>Qureshi</t>
  </si>
  <si>
    <t>Celine</t>
  </si>
  <si>
    <t>Britanie</t>
  </si>
  <si>
    <t>Stefanie</t>
  </si>
  <si>
    <t>M</t>
  </si>
  <si>
    <t>F</t>
  </si>
  <si>
    <t>A+</t>
  </si>
  <si>
    <t>O+</t>
  </si>
  <si>
    <t>AB+</t>
  </si>
  <si>
    <t>B+</t>
  </si>
  <si>
    <t>5'11</t>
  </si>
  <si>
    <t>5'07</t>
  </si>
  <si>
    <t>5'08</t>
  </si>
  <si>
    <t>5'04</t>
  </si>
  <si>
    <t>5'09</t>
  </si>
  <si>
    <t>5'10</t>
  </si>
  <si>
    <t>6'05</t>
  </si>
  <si>
    <r>
      <t>(</t>
    </r>
    <r>
      <rPr>
        <sz val="11"/>
        <color theme="1"/>
        <rFont val="Calibri"/>
        <family val="2"/>
      </rPr>
      <t>₹</t>
    </r>
    <r>
      <rPr>
        <sz val="8.8000000000000007"/>
        <color theme="1"/>
        <rFont val="Calibri"/>
        <family val="2"/>
      </rPr>
      <t>)</t>
    </r>
  </si>
  <si>
    <t>Gender</t>
  </si>
  <si>
    <t>Field of Interest</t>
  </si>
  <si>
    <t>Ajay Shah</t>
  </si>
  <si>
    <t>Riya Desai</t>
  </si>
  <si>
    <t>Denil Patel</t>
  </si>
  <si>
    <t>Smit Prajapati</t>
  </si>
  <si>
    <t>Heni Shah</t>
  </si>
  <si>
    <t>Male</t>
  </si>
  <si>
    <t>Female</t>
  </si>
  <si>
    <t>Computer</t>
  </si>
  <si>
    <t>Music</t>
  </si>
  <si>
    <t>Dance</t>
  </si>
  <si>
    <t>Jay Patel</t>
  </si>
  <si>
    <t>Jensi Dave</t>
  </si>
  <si>
    <t>Sum of Sr. No.</t>
  </si>
  <si>
    <t>Row Labels</t>
  </si>
  <si>
    <t>Grand Total</t>
  </si>
  <si>
    <t>Sum of Age</t>
  </si>
  <si>
    <t>Cost</t>
  </si>
  <si>
    <t>Sale</t>
  </si>
  <si>
    <t>Keyboard</t>
  </si>
  <si>
    <t>Mouse</t>
  </si>
  <si>
    <t>Monitor</t>
  </si>
  <si>
    <t>Speaker</t>
  </si>
  <si>
    <t>Printer</t>
  </si>
  <si>
    <t>Scanner</t>
  </si>
  <si>
    <t>Drive</t>
  </si>
  <si>
    <t>Current Year</t>
  </si>
  <si>
    <t>ctrl + ;</t>
  </si>
  <si>
    <t>Ctrl + semi column/comma key</t>
  </si>
  <si>
    <t>(short cut key)</t>
  </si>
  <si>
    <t>Address</t>
  </si>
  <si>
    <t>DA(35%)</t>
  </si>
  <si>
    <t>HRA(15%)</t>
  </si>
  <si>
    <t>Tax</t>
  </si>
  <si>
    <t>Nanpura</t>
  </si>
  <si>
    <t>Rander</t>
  </si>
  <si>
    <t>Varachha</t>
  </si>
  <si>
    <t>CTLight</t>
  </si>
  <si>
    <t>Bhatar</t>
  </si>
  <si>
    <t>Patel</t>
  </si>
  <si>
    <t>Shah</t>
  </si>
  <si>
    <t>Solanki</t>
  </si>
  <si>
    <t>Shri</t>
  </si>
  <si>
    <t>Jogirdar</t>
  </si>
  <si>
    <t>Jariwala</t>
  </si>
  <si>
    <t>Desai</t>
  </si>
  <si>
    <t>Dave</t>
  </si>
  <si>
    <t>Shaikh</t>
  </si>
  <si>
    <t>Palera</t>
  </si>
  <si>
    <t>Sahadur</t>
  </si>
  <si>
    <t>Director</t>
  </si>
  <si>
    <t>AC</t>
  </si>
  <si>
    <t>Comp</t>
  </si>
  <si>
    <t>SE</t>
  </si>
  <si>
    <t>Rec</t>
  </si>
  <si>
    <t>Net</t>
  </si>
  <si>
    <t>Highest</t>
  </si>
  <si>
    <t>Lowest</t>
  </si>
  <si>
    <t>Average</t>
  </si>
  <si>
    <t>No. of Empl.</t>
  </si>
  <si>
    <t>Statement for March'05</t>
  </si>
  <si>
    <t>Student Name:</t>
  </si>
  <si>
    <t>Course:</t>
  </si>
  <si>
    <t>Course Fee:</t>
  </si>
  <si>
    <t>Receipt No.:</t>
  </si>
  <si>
    <t>PUR/VDC/00111/23</t>
  </si>
  <si>
    <t>Aakash Ravindra Shinde</t>
  </si>
  <si>
    <t>Certificate in Cloud Computing</t>
  </si>
  <si>
    <t>Date:</t>
  </si>
  <si>
    <t>Enroll No.:</t>
  </si>
  <si>
    <t>Center:</t>
  </si>
  <si>
    <t>Payment Terms:</t>
  </si>
  <si>
    <t>21/08/2024</t>
  </si>
  <si>
    <t>Adajan</t>
  </si>
  <si>
    <t>NEFT</t>
  </si>
  <si>
    <t>Payment Mode:</t>
  </si>
  <si>
    <t>Amount(Rs.)</t>
  </si>
  <si>
    <t>CGST(9%)</t>
  </si>
  <si>
    <t>SGST(9%)</t>
  </si>
  <si>
    <t>21-08-2024</t>
  </si>
  <si>
    <t>NEFT-Online Transfer Shah Khushi Account Booking Amount</t>
  </si>
  <si>
    <t>*  Cheque validity is Subject to Realisation.</t>
  </si>
  <si>
    <t>*  Paid fees is Non Refundable at any Circumstances.</t>
  </si>
  <si>
    <t>*  Cheque/DD in favour of PureSkill IT training Academy.</t>
  </si>
  <si>
    <t>*  Installment Payment to be made on or before Requisition of Certificates.</t>
  </si>
  <si>
    <t>*  All Receipts to be produced at the time of Requisition of Certifiate.</t>
  </si>
  <si>
    <t>*  GST is applicable as per Govt. norms.</t>
  </si>
  <si>
    <t>*  Any dispute subject to Surat Jurisdiction.</t>
  </si>
  <si>
    <t>Total Course Fees: 42,000.00</t>
  </si>
  <si>
    <t>Total Pending Fees: 32,000.00</t>
  </si>
  <si>
    <t>PureSkill IT Training Academy</t>
  </si>
  <si>
    <t>T7, 3rd floor, Vijay Laxmi Hills, Nr. Adajan Police Choky, B/H Gujarat Gas Ofiice,</t>
  </si>
  <si>
    <t>Adajan, Surat - 395005, Gujarat.</t>
  </si>
  <si>
    <t>Email-info@pureskill.in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</si>
</sst>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2"/>
      <color theme="1"/>
      <name val="Mongolian Baiti"/>
      <family val="4"/>
    </font>
    <font>
      <sz val="12"/>
      <color theme="1"/>
      <name val="Mongolian Baiti"/>
      <family val="4"/>
    </font>
    <font>
      <b/>
      <sz val="22"/>
      <color theme="1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Gloucester MT Extra Condensed"/>
      <family val="1"/>
    </font>
    <font>
      <b/>
      <sz val="12"/>
      <color theme="1"/>
      <name val="Aptos Narrow"/>
      <family val="2"/>
    </font>
    <font>
      <b/>
      <sz val="11"/>
      <color theme="8" tint="-0.499984740745262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4" tint="-0.499984740745262"/>
      <name val="Calibri"/>
      <family val="2"/>
      <scheme val="minor"/>
    </font>
    <font>
      <b/>
      <sz val="20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8.8000000000000007"/>
      <color theme="1"/>
      <name val="Calibri"/>
      <family val="2"/>
    </font>
    <font>
      <b/>
      <sz val="11"/>
      <color theme="4" tint="-0.249977111117893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0" fillId="0" borderId="1" xfId="0" applyBorder="1"/>
    <xf numFmtId="0" fontId="6" fillId="0" borderId="0" xfId="0" applyFont="1"/>
    <xf numFmtId="0" fontId="6" fillId="0" borderId="1" xfId="0" applyFont="1" applyBorder="1"/>
    <xf numFmtId="0" fontId="10" fillId="0" borderId="0" xfId="0" applyFont="1" applyAlignment="1">
      <alignment horizontal="center"/>
    </xf>
    <xf numFmtId="0" fontId="10" fillId="0" borderId="0" xfId="0" applyFont="1"/>
    <xf numFmtId="0" fontId="0" fillId="0" borderId="9" xfId="0" applyBorder="1"/>
    <xf numFmtId="0" fontId="0" fillId="0" borderId="10" xfId="0" applyBorder="1"/>
    <xf numFmtId="0" fontId="5" fillId="0" borderId="10" xfId="0" applyFont="1" applyBorder="1"/>
    <xf numFmtId="0" fontId="6" fillId="0" borderId="8" xfId="0" applyFont="1" applyBorder="1"/>
    <xf numFmtId="0" fontId="0" fillId="0" borderId="8" xfId="0" applyBorder="1"/>
    <xf numFmtId="0" fontId="6" fillId="0" borderId="10" xfId="0" applyFont="1" applyBorder="1"/>
    <xf numFmtId="0" fontId="1" fillId="0" borderId="0" xfId="0" applyFont="1" applyAlignment="1">
      <alignment horizontal="center"/>
    </xf>
    <xf numFmtId="0" fontId="0" fillId="0" borderId="0" xfId="0" quotePrefix="1"/>
    <xf numFmtId="0" fontId="8" fillId="0" borderId="7" xfId="0" applyFont="1" applyBorder="1"/>
    <xf numFmtId="0" fontId="9" fillId="0" borderId="12" xfId="0" applyFont="1" applyBorder="1" applyAlignment="1">
      <alignment horizontal="left"/>
    </xf>
    <xf numFmtId="0" fontId="9" fillId="0" borderId="13" xfId="0" applyFont="1" applyBorder="1" applyAlignment="1">
      <alignment horizontal="right"/>
    </xf>
    <xf numFmtId="0" fontId="7" fillId="0" borderId="9" xfId="0" applyFont="1" applyBorder="1"/>
    <xf numFmtId="0" fontId="8" fillId="0" borderId="15" xfId="0" applyFont="1" applyBorder="1" applyAlignment="1">
      <alignment horizontal="right"/>
    </xf>
    <xf numFmtId="0" fontId="8" fillId="0" borderId="9" xfId="0" applyFont="1" applyBorder="1"/>
    <xf numFmtId="0" fontId="0" fillId="0" borderId="15" xfId="0" applyBorder="1"/>
    <xf numFmtId="0" fontId="4" fillId="0" borderId="11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0" fillId="0" borderId="10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16" xfId="0" applyBorder="1"/>
    <xf numFmtId="0" fontId="0" fillId="0" borderId="4" xfId="0" applyBorder="1"/>
    <xf numFmtId="0" fontId="8" fillId="0" borderId="3" xfId="0" applyFont="1" applyBorder="1"/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7" fillId="0" borderId="0" xfId="0" applyFont="1" applyAlignment="1">
      <alignment horizontal="right"/>
    </xf>
    <xf numFmtId="9" fontId="0" fillId="0" borderId="0" xfId="0" applyNumberFormat="1"/>
    <xf numFmtId="14" fontId="0" fillId="0" borderId="0" xfId="0" applyNumberFormat="1"/>
    <xf numFmtId="0" fontId="11" fillId="0" borderId="0" xfId="0" applyFont="1"/>
    <xf numFmtId="0" fontId="0" fillId="0" borderId="0" xfId="0" applyAlignment="1">
      <alignment textRotation="30"/>
    </xf>
    <xf numFmtId="0" fontId="0" fillId="0" borderId="0" xfId="0" applyAlignment="1">
      <alignment horizontal="left" vertical="top" textRotation="120"/>
    </xf>
    <xf numFmtId="0" fontId="4" fillId="0" borderId="0" xfId="0" applyFont="1" applyAlignment="1">
      <alignment horizontal="center" textRotation="30"/>
    </xf>
    <xf numFmtId="0" fontId="4" fillId="0" borderId="0" xfId="0" applyFont="1" applyAlignment="1">
      <alignment horizontal="left" vertical="top" textRotation="105"/>
    </xf>
    <xf numFmtId="0" fontId="0" fillId="0" borderId="0" xfId="0" applyAlignment="1">
      <alignment textRotation="15"/>
    </xf>
    <xf numFmtId="0" fontId="4" fillId="0" borderId="0" xfId="0" applyFont="1" applyAlignment="1">
      <alignment textRotation="15"/>
    </xf>
    <xf numFmtId="0" fontId="16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 indent="1"/>
    </xf>
    <xf numFmtId="2" fontId="0" fillId="0" borderId="0" xfId="0" applyNumberFormat="1" applyAlignment="1">
      <alignment horizontal="center"/>
    </xf>
    <xf numFmtId="0" fontId="18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ont="1"/>
    <xf numFmtId="0" fontId="0" fillId="0" borderId="2" xfId="0" applyBorder="1"/>
    <xf numFmtId="0" fontId="0" fillId="0" borderId="3" xfId="0" applyBorder="1"/>
    <xf numFmtId="0" fontId="0" fillId="0" borderId="9" xfId="0" applyFont="1" applyBorder="1" applyAlignment="1">
      <alignment horizontal="left" vertical="top"/>
    </xf>
    <xf numFmtId="0" fontId="0" fillId="0" borderId="9" xfId="0" applyFont="1" applyBorder="1" applyAlignment="1">
      <alignment vertical="top"/>
    </xf>
    <xf numFmtId="0" fontId="0" fillId="0" borderId="6" xfId="0" applyBorder="1"/>
    <xf numFmtId="0" fontId="0" fillId="0" borderId="5" xfId="0" applyBorder="1"/>
    <xf numFmtId="0" fontId="20" fillId="0" borderId="1" xfId="1" applyFont="1" applyBorder="1" applyAlignment="1">
      <alignment horizontal="center"/>
    </xf>
    <xf numFmtId="0" fontId="7" fillId="0" borderId="1" xfId="0" applyFont="1" applyBorder="1"/>
    <xf numFmtId="0" fontId="21" fillId="0" borderId="8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wrapText="1"/>
    </xf>
    <xf numFmtId="0" fontId="0" fillId="0" borderId="0" xfId="0" applyBorder="1"/>
    <xf numFmtId="0" fontId="22" fillId="0" borderId="3" xfId="0" applyFont="1" applyBorder="1" applyAlignment="1">
      <alignment horizontal="center" vertical="top"/>
    </xf>
    <xf numFmtId="0" fontId="21" fillId="0" borderId="11" xfId="0" applyFont="1" applyBorder="1" applyAlignment="1">
      <alignment horizontal="center"/>
    </xf>
    <xf numFmtId="0" fontId="21" fillId="0" borderId="17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3" fontId="7" fillId="0" borderId="17" xfId="0" applyNumberFormat="1" applyFont="1" applyBorder="1" applyAlignment="1">
      <alignment horizontal="center"/>
    </xf>
    <xf numFmtId="14" fontId="7" fillId="0" borderId="11" xfId="0" applyNumberFormat="1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/>
    </xf>
    <xf numFmtId="14" fontId="7" fillId="0" borderId="11" xfId="0" applyNumberFormat="1" applyFont="1" applyBorder="1" applyAlignment="1">
      <alignment horizontal="center" vertical="center"/>
    </xf>
    <xf numFmtId="4" fontId="7" fillId="0" borderId="11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0" fillId="0" borderId="4" xfId="0" applyFont="1" applyBorder="1"/>
    <xf numFmtId="0" fontId="0" fillId="0" borderId="15" xfId="0" applyFont="1" applyBorder="1"/>
    <xf numFmtId="0" fontId="0" fillId="0" borderId="0" xfId="0" applyFont="1" applyBorder="1"/>
    <xf numFmtId="0" fontId="0" fillId="0" borderId="5" xfId="0" applyFont="1" applyBorder="1"/>
    <xf numFmtId="0" fontId="0" fillId="0" borderId="1" xfId="0" applyFont="1" applyBorder="1"/>
    <xf numFmtId="0" fontId="0" fillId="0" borderId="6" xfId="0" applyFont="1" applyBorder="1"/>
    <xf numFmtId="0" fontId="21" fillId="0" borderId="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0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[Sheets.xlsx]pivot!PivotTable1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pivot!$J$3</c:f>
              <c:strCache>
                <c:ptCount val="1"/>
                <c:pt idx="0">
                  <c:v>Sum of Sr. No.</c:v>
                </c:pt>
              </c:strCache>
            </c:strRef>
          </c:tx>
          <c:spPr>
            <a:solidFill>
              <a:schemeClr val="accent6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pivot!$I$4:$I$20</c:f>
              <c:multiLvlStrCache>
                <c:ptCount val="8"/>
                <c:lvl>
                  <c:pt idx="0">
                    <c:v>Computer</c:v>
                  </c:pt>
                  <c:pt idx="1">
                    <c:v>Music</c:v>
                  </c:pt>
                  <c:pt idx="2">
                    <c:v>Dance</c:v>
                  </c:pt>
                  <c:pt idx="3">
                    <c:v>Music</c:v>
                  </c:pt>
                  <c:pt idx="4">
                    <c:v>Dance</c:v>
                  </c:pt>
                  <c:pt idx="5">
                    <c:v>Music</c:v>
                  </c:pt>
                  <c:pt idx="6">
                    <c:v>Computer</c:v>
                  </c:pt>
                  <c:pt idx="7">
                    <c:v>Dance</c:v>
                  </c:pt>
                </c:lvl>
                <c:lvl>
                  <c:pt idx="0">
                    <c:v>Ajay Shah</c:v>
                  </c:pt>
                  <c:pt idx="1">
                    <c:v>Denil Patel</c:v>
                  </c:pt>
                  <c:pt idx="2">
                    <c:v>Heni Shah</c:v>
                  </c:pt>
                  <c:pt idx="3">
                    <c:v>Jay Patel</c:v>
                  </c:pt>
                  <c:pt idx="4">
                    <c:v>Jensi Dave</c:v>
                  </c:pt>
                  <c:pt idx="5">
                    <c:v>Riya Desai</c:v>
                  </c:pt>
                  <c:pt idx="6">
                    <c:v>Smit Prajapati</c:v>
                  </c:pt>
                  <c:pt idx="7">
                    <c:v>Varsha Patel</c:v>
                  </c:pt>
                </c:lvl>
              </c:multiLvlStrCache>
            </c:multiLvlStrRef>
          </c:cat>
          <c:val>
            <c:numRef>
              <c:f>pivot!$J$4:$J$20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2</c:v>
                </c:pt>
                <c:pt idx="6">
                  <c:v>5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0E-478F-A855-D8DC4850830D}"/>
            </c:ext>
          </c:extLst>
        </c:ser>
        <c:ser>
          <c:idx val="1"/>
          <c:order val="1"/>
          <c:tx>
            <c:strRef>
              <c:f>pivot!$K$3</c:f>
              <c:strCache>
                <c:ptCount val="1"/>
                <c:pt idx="0">
                  <c:v>Sum of Age</c:v>
                </c:pt>
              </c:strCache>
            </c:strRef>
          </c:tx>
          <c:spPr>
            <a:solidFill>
              <a:schemeClr val="accent6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pivot!$I$4:$I$20</c:f>
              <c:multiLvlStrCache>
                <c:ptCount val="8"/>
                <c:lvl>
                  <c:pt idx="0">
                    <c:v>Computer</c:v>
                  </c:pt>
                  <c:pt idx="1">
                    <c:v>Music</c:v>
                  </c:pt>
                  <c:pt idx="2">
                    <c:v>Dance</c:v>
                  </c:pt>
                  <c:pt idx="3">
                    <c:v>Music</c:v>
                  </c:pt>
                  <c:pt idx="4">
                    <c:v>Dance</c:v>
                  </c:pt>
                  <c:pt idx="5">
                    <c:v>Music</c:v>
                  </c:pt>
                  <c:pt idx="6">
                    <c:v>Computer</c:v>
                  </c:pt>
                  <c:pt idx="7">
                    <c:v>Dance</c:v>
                  </c:pt>
                </c:lvl>
                <c:lvl>
                  <c:pt idx="0">
                    <c:v>Ajay Shah</c:v>
                  </c:pt>
                  <c:pt idx="1">
                    <c:v>Denil Patel</c:v>
                  </c:pt>
                  <c:pt idx="2">
                    <c:v>Heni Shah</c:v>
                  </c:pt>
                  <c:pt idx="3">
                    <c:v>Jay Patel</c:v>
                  </c:pt>
                  <c:pt idx="4">
                    <c:v>Jensi Dave</c:v>
                  </c:pt>
                  <c:pt idx="5">
                    <c:v>Riya Desai</c:v>
                  </c:pt>
                  <c:pt idx="6">
                    <c:v>Smit Prajapati</c:v>
                  </c:pt>
                  <c:pt idx="7">
                    <c:v>Varsha Patel</c:v>
                  </c:pt>
                </c:lvl>
              </c:multiLvlStrCache>
            </c:multiLvlStrRef>
          </c:cat>
          <c:val>
            <c:numRef>
              <c:f>pivot!$K$4:$K$20</c:f>
              <c:numCache>
                <c:formatCode>General</c:formatCode>
                <c:ptCount val="8"/>
                <c:pt idx="0">
                  <c:v>24</c:v>
                </c:pt>
                <c:pt idx="1">
                  <c:v>23</c:v>
                </c:pt>
                <c:pt idx="2">
                  <c:v>25</c:v>
                </c:pt>
                <c:pt idx="3">
                  <c:v>22</c:v>
                </c:pt>
                <c:pt idx="4">
                  <c:v>21</c:v>
                </c:pt>
                <c:pt idx="5">
                  <c:v>23</c:v>
                </c:pt>
                <c:pt idx="6">
                  <c:v>21</c:v>
                </c:pt>
                <c:pt idx="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0E-478F-A855-D8DC48508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6676976"/>
        <c:axId val="426672656"/>
      </c:barChart>
      <c:catAx>
        <c:axId val="42667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72656"/>
        <c:crosses val="autoZero"/>
        <c:auto val="1"/>
        <c:lblAlgn val="ctr"/>
        <c:lblOffset val="100"/>
        <c:noMultiLvlLbl val="0"/>
      </c:catAx>
      <c:valAx>
        <c:axId val="42667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676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37429</xdr:colOff>
      <xdr:row>17</xdr:row>
      <xdr:rowOff>33047</xdr:rowOff>
    </xdr:from>
    <xdr:to>
      <xdr:col>2</xdr:col>
      <xdr:colOff>560917</xdr:colOff>
      <xdr:row>19</xdr:row>
      <xdr:rowOff>179917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2859AA-2DD6-741B-181D-89B436FFE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5096" y="3387964"/>
          <a:ext cx="523488" cy="5278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13757</xdr:colOff>
      <xdr:row>13</xdr:row>
      <xdr:rowOff>63501</xdr:rowOff>
    </xdr:from>
    <xdr:to>
      <xdr:col>6</xdr:col>
      <xdr:colOff>592666</xdr:colOff>
      <xdr:row>25</xdr:row>
      <xdr:rowOff>127529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57EA13-D81A-407A-1229-8091794EC9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523.959976273145" createdVersion="8" refreshedVersion="8" minRefreshableVersion="3" recordCount="9" xr:uid="{C97D9BF3-2FB0-44DB-8A26-CBD74359E207}">
  <cacheSource type="worksheet">
    <worksheetSource ref="B3:F12" sheet="pivot"/>
  </cacheSource>
  <cacheFields count="5">
    <cacheField name="Sr. No." numFmtId="0">
      <sharedItems containsString="0" containsBlank="1" containsNumber="1" containsInteger="1" minValue="1" maxValue="8"/>
    </cacheField>
    <cacheField name="Name" numFmtId="0">
      <sharedItems containsBlank="1" count="9">
        <m/>
        <s v="Ajay Shah"/>
        <s v="Riya Desai"/>
        <s v="Varsha Patel"/>
        <s v="Denil Patel"/>
        <s v="Smit Prajapati"/>
        <s v="Heni Shah"/>
        <s v="Jay Patel"/>
        <s v="Jensi Dave"/>
      </sharedItems>
    </cacheField>
    <cacheField name="Age" numFmtId="0">
      <sharedItems containsString="0" containsBlank="1" containsNumber="1" containsInteger="1" minValue="21" maxValue="25"/>
    </cacheField>
    <cacheField name="Gender" numFmtId="0">
      <sharedItems containsBlank="1" count="3">
        <m/>
        <s v="Male"/>
        <s v="Female"/>
      </sharedItems>
    </cacheField>
    <cacheField name="Field of Interest" numFmtId="0">
      <sharedItems containsBlank="1" count="4">
        <m/>
        <s v="Computer"/>
        <s v="Music"/>
        <s v="Da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m/>
    <x v="0"/>
    <m/>
    <x v="0"/>
    <x v="0"/>
  </r>
  <r>
    <n v="1"/>
    <x v="1"/>
    <n v="24"/>
    <x v="1"/>
    <x v="1"/>
  </r>
  <r>
    <n v="2"/>
    <x v="2"/>
    <n v="23"/>
    <x v="2"/>
    <x v="2"/>
  </r>
  <r>
    <n v="3"/>
    <x v="3"/>
    <n v="22"/>
    <x v="2"/>
    <x v="3"/>
  </r>
  <r>
    <n v="4"/>
    <x v="4"/>
    <n v="23"/>
    <x v="1"/>
    <x v="2"/>
  </r>
  <r>
    <n v="5"/>
    <x v="5"/>
    <n v="21"/>
    <x v="1"/>
    <x v="1"/>
  </r>
  <r>
    <n v="6"/>
    <x v="6"/>
    <n v="25"/>
    <x v="2"/>
    <x v="3"/>
  </r>
  <r>
    <n v="7"/>
    <x v="7"/>
    <n v="22"/>
    <x v="1"/>
    <x v="2"/>
  </r>
  <r>
    <n v="8"/>
    <x v="8"/>
    <n v="21"/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C5020-CA58-4E62-975B-7A242AB61DD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I3:K20" firstHeaderRow="0" firstDataRow="1" firstDataCol="1"/>
  <pivotFields count="5">
    <pivotField dataField="1" showAll="0"/>
    <pivotField axis="axisRow" showAll="0" sortType="ascending">
      <items count="10">
        <item x="1"/>
        <item x="4"/>
        <item x="6"/>
        <item x="7"/>
        <item x="8"/>
        <item x="2"/>
        <item x="5"/>
        <item x="3"/>
        <item h="1" x="0"/>
        <item t="default"/>
      </items>
    </pivotField>
    <pivotField dataField="1" showAll="0"/>
    <pivotField showAll="0">
      <items count="4">
        <item x="2"/>
        <item x="1"/>
        <item x="0"/>
        <item t="default"/>
      </items>
    </pivotField>
    <pivotField axis="axisRow" showAll="0">
      <items count="5">
        <item x="1"/>
        <item x="3"/>
        <item x="2"/>
        <item h="1" x="0"/>
        <item t="default"/>
      </items>
    </pivotField>
  </pivotFields>
  <rowFields count="2">
    <field x="1"/>
    <field x="4"/>
  </rowFields>
  <rowItems count="17">
    <i>
      <x/>
    </i>
    <i r="1">
      <x/>
    </i>
    <i>
      <x v="1"/>
    </i>
    <i r="1">
      <x v="2"/>
    </i>
    <i>
      <x v="2"/>
    </i>
    <i r="1">
      <x v="1"/>
    </i>
    <i>
      <x v="3"/>
    </i>
    <i r="1">
      <x v="2"/>
    </i>
    <i>
      <x v="4"/>
    </i>
    <i r="1">
      <x v="1"/>
    </i>
    <i>
      <x v="5"/>
    </i>
    <i r="1">
      <x v="2"/>
    </i>
    <i>
      <x v="6"/>
    </i>
    <i r="1">
      <x/>
    </i>
    <i>
      <x v="7"/>
    </i>
    <i r="1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r. No." fld="0" baseField="0" baseItem="0"/>
    <dataField name="Sum of Age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Email-info@pureskill.i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9B355-F2A8-4296-AF23-2A0BD84B6A0E}">
  <dimension ref="B5:L13"/>
  <sheetViews>
    <sheetView zoomScale="80" zoomScaleNormal="80" workbookViewId="0">
      <selection activeCell="K16" sqref="K16"/>
    </sheetView>
  </sheetViews>
  <sheetFormatPr defaultRowHeight="15" x14ac:dyDescent="0.25"/>
  <cols>
    <col min="2" max="2" width="8.42578125" customWidth="1"/>
    <col min="3" max="3" width="14.28515625" customWidth="1"/>
    <col min="4" max="4" width="15.42578125" customWidth="1"/>
    <col min="5" max="5" width="15" customWidth="1"/>
    <col min="6" max="6" width="11.85546875" customWidth="1"/>
    <col min="7" max="7" width="13.28515625" customWidth="1"/>
    <col min="8" max="8" width="9.7109375" customWidth="1"/>
    <col min="9" max="9" width="11.28515625" customWidth="1"/>
    <col min="10" max="10" width="12.85546875" customWidth="1"/>
    <col min="11" max="11" width="13.85546875" customWidth="1"/>
    <col min="12" max="12" width="9.7109375" customWidth="1"/>
  </cols>
  <sheetData>
    <row r="5" spans="2:12" s="3" customFormat="1" x14ac:dyDescent="0.2">
      <c r="B5" s="17" t="s">
        <v>0</v>
      </c>
      <c r="C5" s="17" t="s">
        <v>1</v>
      </c>
      <c r="D5" s="17" t="s">
        <v>3</v>
      </c>
      <c r="E5" s="17" t="s">
        <v>2</v>
      </c>
      <c r="F5" s="17" t="s">
        <v>4</v>
      </c>
      <c r="G5" s="17" t="s">
        <v>5</v>
      </c>
      <c r="H5" s="17" t="s">
        <v>6</v>
      </c>
      <c r="I5" s="17" t="s">
        <v>7</v>
      </c>
      <c r="J5" s="17" t="s">
        <v>8</v>
      </c>
      <c r="K5" s="17" t="s">
        <v>21</v>
      </c>
      <c r="L5" s="2"/>
    </row>
    <row r="7" spans="2:12" x14ac:dyDescent="0.25">
      <c r="B7">
        <v>1</v>
      </c>
      <c r="C7" t="s">
        <v>15</v>
      </c>
      <c r="D7" s="1" t="s">
        <v>16</v>
      </c>
      <c r="E7">
        <v>45000</v>
      </c>
      <c r="F7">
        <f t="shared" ref="F7:F13" si="0">E7*15/100</f>
        <v>6750</v>
      </c>
      <c r="G7">
        <f t="shared" ref="G7:G13" si="1">E7*10/100</f>
        <v>4500</v>
      </c>
      <c r="H7">
        <f t="shared" ref="H7:H13" si="2">E7*5/100</f>
        <v>2250</v>
      </c>
      <c r="I7">
        <f>SUM(E7:F7:H7)</f>
        <v>58500</v>
      </c>
      <c r="J7">
        <f>I7*12</f>
        <v>702000</v>
      </c>
      <c r="K7">
        <f>I7-H7</f>
        <v>56250</v>
      </c>
    </row>
    <row r="8" spans="2:12" x14ac:dyDescent="0.25">
      <c r="B8">
        <v>2</v>
      </c>
      <c r="C8" t="s">
        <v>10</v>
      </c>
      <c r="D8" s="1" t="s">
        <v>17</v>
      </c>
      <c r="E8">
        <v>37000</v>
      </c>
      <c r="F8">
        <f t="shared" si="0"/>
        <v>5550</v>
      </c>
      <c r="G8">
        <f t="shared" si="1"/>
        <v>3700</v>
      </c>
      <c r="H8">
        <f t="shared" si="2"/>
        <v>1850</v>
      </c>
      <c r="I8">
        <f>SUM(E8:F8:H8)</f>
        <v>48100</v>
      </c>
      <c r="J8">
        <f t="shared" ref="J8:J13" si="3">I8*12</f>
        <v>577200</v>
      </c>
      <c r="K8">
        <f t="shared" ref="K8:K13" si="4">I8-H8</f>
        <v>46250</v>
      </c>
    </row>
    <row r="9" spans="2:12" x14ac:dyDescent="0.25">
      <c r="B9">
        <v>3</v>
      </c>
      <c r="C9" t="s">
        <v>11</v>
      </c>
      <c r="D9" s="1" t="s">
        <v>18</v>
      </c>
      <c r="E9">
        <v>32000</v>
      </c>
      <c r="F9">
        <f t="shared" si="0"/>
        <v>4800</v>
      </c>
      <c r="G9">
        <f t="shared" si="1"/>
        <v>3200</v>
      </c>
      <c r="H9">
        <f t="shared" si="2"/>
        <v>1600</v>
      </c>
      <c r="I9">
        <f>SUM(E9:F9:H9)</f>
        <v>41600</v>
      </c>
      <c r="J9">
        <f t="shared" si="3"/>
        <v>499200</v>
      </c>
      <c r="K9">
        <f t="shared" si="4"/>
        <v>40000</v>
      </c>
    </row>
    <row r="10" spans="2:12" x14ac:dyDescent="0.25">
      <c r="B10">
        <v>4</v>
      </c>
      <c r="C10" t="s">
        <v>12</v>
      </c>
      <c r="D10" s="1" t="s">
        <v>17</v>
      </c>
      <c r="E10">
        <v>35000</v>
      </c>
      <c r="F10">
        <f t="shared" si="0"/>
        <v>5250</v>
      </c>
      <c r="G10">
        <f t="shared" si="1"/>
        <v>3500</v>
      </c>
      <c r="H10">
        <f t="shared" si="2"/>
        <v>1750</v>
      </c>
      <c r="I10">
        <f>SUM(E10:F10:H10)</f>
        <v>45500</v>
      </c>
      <c r="J10">
        <f t="shared" si="3"/>
        <v>546000</v>
      </c>
      <c r="K10">
        <f t="shared" si="4"/>
        <v>43750</v>
      </c>
    </row>
    <row r="11" spans="2:12" x14ac:dyDescent="0.25">
      <c r="B11">
        <v>5</v>
      </c>
      <c r="C11" t="s">
        <v>13</v>
      </c>
      <c r="D11" s="1" t="s">
        <v>18</v>
      </c>
      <c r="E11">
        <v>30000</v>
      </c>
      <c r="F11">
        <f t="shared" si="0"/>
        <v>4500</v>
      </c>
      <c r="G11">
        <f t="shared" si="1"/>
        <v>3000</v>
      </c>
      <c r="H11">
        <f t="shared" si="2"/>
        <v>1500</v>
      </c>
      <c r="I11">
        <f>SUM(E11:F11:H11)</f>
        <v>39000</v>
      </c>
      <c r="J11">
        <f t="shared" si="3"/>
        <v>468000</v>
      </c>
      <c r="K11">
        <f t="shared" si="4"/>
        <v>37500</v>
      </c>
    </row>
    <row r="12" spans="2:12" x14ac:dyDescent="0.25">
      <c r="B12">
        <v>6</v>
      </c>
      <c r="C12" t="s">
        <v>14</v>
      </c>
      <c r="D12" s="1" t="s">
        <v>19</v>
      </c>
      <c r="E12">
        <v>25000</v>
      </c>
      <c r="F12">
        <f t="shared" si="0"/>
        <v>3750</v>
      </c>
      <c r="G12">
        <f t="shared" si="1"/>
        <v>2500</v>
      </c>
      <c r="H12">
        <f t="shared" si="2"/>
        <v>1250</v>
      </c>
      <c r="I12">
        <f>SUM(E12:F12:H12)</f>
        <v>32500</v>
      </c>
      <c r="J12">
        <f t="shared" si="3"/>
        <v>390000</v>
      </c>
      <c r="K12">
        <f t="shared" si="4"/>
        <v>31250</v>
      </c>
    </row>
    <row r="13" spans="2:12" x14ac:dyDescent="0.25">
      <c r="B13">
        <v>7</v>
      </c>
      <c r="C13" t="s">
        <v>9</v>
      </c>
      <c r="D13" s="1" t="s">
        <v>20</v>
      </c>
      <c r="E13">
        <v>15000</v>
      </c>
      <c r="F13">
        <f t="shared" si="0"/>
        <v>2250</v>
      </c>
      <c r="G13">
        <f t="shared" si="1"/>
        <v>1500</v>
      </c>
      <c r="H13">
        <f t="shared" si="2"/>
        <v>750</v>
      </c>
      <c r="I13">
        <f>SUM(E13:F13:H13)</f>
        <v>19500</v>
      </c>
      <c r="J13">
        <f t="shared" si="3"/>
        <v>234000</v>
      </c>
      <c r="K13">
        <f t="shared" si="4"/>
        <v>18750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25135-769A-45E4-85DA-50898B1161F1}">
  <dimension ref="B3:N15"/>
  <sheetViews>
    <sheetView workbookViewId="0">
      <selection activeCell="G14" sqref="G14"/>
    </sheetView>
  </sheetViews>
  <sheetFormatPr defaultRowHeight="15" x14ac:dyDescent="0.25"/>
  <cols>
    <col min="2" max="2" width="9.28515625" customWidth="1"/>
    <col min="7" max="8" width="10" customWidth="1"/>
    <col min="9" max="9" width="9.7109375" customWidth="1"/>
  </cols>
  <sheetData>
    <row r="3" spans="2:14" ht="15.75" x14ac:dyDescent="0.25">
      <c r="G3" s="47" t="s">
        <v>42</v>
      </c>
      <c r="H3" s="4" t="s">
        <v>226</v>
      </c>
      <c r="I3" s="4" t="s">
        <v>227</v>
      </c>
      <c r="J3" s="4" t="s">
        <v>228</v>
      </c>
      <c r="K3" s="4" t="s">
        <v>229</v>
      </c>
      <c r="L3" s="4" t="s">
        <v>230</v>
      </c>
      <c r="M3" s="4" t="s">
        <v>231</v>
      </c>
      <c r="N3" s="4" t="s">
        <v>232</v>
      </c>
    </row>
    <row r="4" spans="2:14" ht="15.75" x14ac:dyDescent="0.25">
      <c r="B4" s="47" t="s">
        <v>42</v>
      </c>
      <c r="C4" s="47" t="s">
        <v>224</v>
      </c>
      <c r="D4" s="47" t="s">
        <v>225</v>
      </c>
      <c r="G4" s="47" t="s">
        <v>224</v>
      </c>
      <c r="H4">
        <v>250</v>
      </c>
      <c r="I4">
        <v>200</v>
      </c>
      <c r="J4">
        <v>2500</v>
      </c>
      <c r="K4">
        <v>1500</v>
      </c>
      <c r="L4">
        <v>8000</v>
      </c>
      <c r="M4">
        <v>6500</v>
      </c>
      <c r="N4">
        <v>4000</v>
      </c>
    </row>
    <row r="5" spans="2:14" ht="15.75" x14ac:dyDescent="0.25">
      <c r="B5" t="s">
        <v>226</v>
      </c>
      <c r="C5">
        <v>250</v>
      </c>
      <c r="D5">
        <v>350</v>
      </c>
      <c r="G5" s="47" t="s">
        <v>225</v>
      </c>
      <c r="H5">
        <v>350</v>
      </c>
      <c r="I5">
        <v>300</v>
      </c>
      <c r="J5">
        <v>3500</v>
      </c>
      <c r="K5">
        <v>2500</v>
      </c>
      <c r="L5">
        <v>10000</v>
      </c>
      <c r="M5">
        <v>8000</v>
      </c>
      <c r="N5">
        <v>6000</v>
      </c>
    </row>
    <row r="6" spans="2:14" x14ac:dyDescent="0.25">
      <c r="B6" t="s">
        <v>227</v>
      </c>
      <c r="C6">
        <v>200</v>
      </c>
      <c r="D6">
        <v>300</v>
      </c>
    </row>
    <row r="7" spans="2:14" x14ac:dyDescent="0.25">
      <c r="B7" t="s">
        <v>228</v>
      </c>
      <c r="C7">
        <v>2500</v>
      </c>
      <c r="D7">
        <v>3500</v>
      </c>
    </row>
    <row r="8" spans="2:14" ht="15.75" x14ac:dyDescent="0.25">
      <c r="B8" t="s">
        <v>229</v>
      </c>
      <c r="C8">
        <v>1500</v>
      </c>
      <c r="D8">
        <v>2500</v>
      </c>
      <c r="H8" s="47" t="s">
        <v>42</v>
      </c>
      <c r="I8" t="str">
        <f>HLOOKUP(H8,G3:N5,1,0)</f>
        <v>Items</v>
      </c>
    </row>
    <row r="9" spans="2:14" ht="15.75" x14ac:dyDescent="0.25">
      <c r="B9" t="s">
        <v>230</v>
      </c>
      <c r="C9">
        <v>8000</v>
      </c>
      <c r="D9">
        <v>10000</v>
      </c>
      <c r="H9" s="47" t="s">
        <v>224</v>
      </c>
      <c r="I9" t="str">
        <f>HLOOKUP(H8,G3:N5,2,0)</f>
        <v>Cost</v>
      </c>
    </row>
    <row r="10" spans="2:14" ht="15.75" x14ac:dyDescent="0.25">
      <c r="B10" t="s">
        <v>231</v>
      </c>
      <c r="C10">
        <v>6500</v>
      </c>
      <c r="D10">
        <v>8000</v>
      </c>
      <c r="H10" s="47" t="s">
        <v>225</v>
      </c>
      <c r="I10" t="str">
        <f>HLOOKUP(H8,G3:N5,3,0)</f>
        <v>Sale</v>
      </c>
    </row>
    <row r="11" spans="2:14" x14ac:dyDescent="0.25">
      <c r="B11" t="s">
        <v>232</v>
      </c>
      <c r="C11">
        <v>4000</v>
      </c>
      <c r="D11">
        <v>6000</v>
      </c>
    </row>
    <row r="14" spans="2:14" ht="15.75" x14ac:dyDescent="0.25">
      <c r="B14" s="47" t="s">
        <v>42</v>
      </c>
      <c r="C14" s="47" t="s">
        <v>224</v>
      </c>
      <c r="D14" s="47" t="s">
        <v>225</v>
      </c>
    </row>
    <row r="15" spans="2:14" x14ac:dyDescent="0.25">
      <c r="B15" t="str">
        <f>VLOOKUP(B14,B4:D11,1,0)</f>
        <v>Items</v>
      </c>
      <c r="C15" t="str">
        <f>VLOOKUP(B14,B4:D11,2,0)</f>
        <v>Cost</v>
      </c>
      <c r="D15" t="str">
        <f>VLOOKUP(B14,B4:D11,3,0)</f>
        <v>Sale</v>
      </c>
    </row>
  </sheetData>
  <dataValidations count="2">
    <dataValidation type="list" allowBlank="1" showInputMessage="1" showErrorMessage="1" sqref="H8" xr:uid="{5F186B6E-E6F9-4E0B-8E0B-89657AC38886}">
      <formula1>$G$3:$N$3</formula1>
    </dataValidation>
    <dataValidation type="list" allowBlank="1" showInputMessage="1" showErrorMessage="1" sqref="B14" xr:uid="{B0F74815-0BC5-4D6B-A603-421865F0AC59}">
      <formula1>$B$4:$B$11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17BC-46A9-4CEE-97EB-F6094C7B1B92}">
  <dimension ref="B3:N24"/>
  <sheetViews>
    <sheetView zoomScale="90" zoomScaleNormal="90" workbookViewId="0">
      <selection activeCell="C22" sqref="C22"/>
    </sheetView>
  </sheetViews>
  <sheetFormatPr defaultRowHeight="15" x14ac:dyDescent="0.25"/>
  <cols>
    <col min="1" max="1" width="8.5703125" customWidth="1"/>
    <col min="2" max="2" width="7.85546875" customWidth="1"/>
    <col min="4" max="4" width="10.5703125" customWidth="1"/>
    <col min="5" max="5" width="12.140625" customWidth="1"/>
    <col min="6" max="8" width="10" style="35" customWidth="1"/>
    <col min="9" max="9" width="9.28515625" style="35" customWidth="1"/>
    <col min="10" max="10" width="10" customWidth="1"/>
    <col min="11" max="11" width="10.7109375" style="35" customWidth="1"/>
    <col min="12" max="12" width="7.140625" customWidth="1"/>
    <col min="13" max="13" width="9.28515625" style="35" customWidth="1"/>
    <col min="14" max="14" width="10.7109375" customWidth="1"/>
  </cols>
  <sheetData>
    <row r="3" spans="2:14" ht="15.75" x14ac:dyDescent="0.25">
      <c r="B3" s="33" t="s">
        <v>0</v>
      </c>
      <c r="C3" s="33" t="s">
        <v>1</v>
      </c>
      <c r="D3" s="33" t="s">
        <v>237</v>
      </c>
      <c r="E3" s="33" t="s">
        <v>3</v>
      </c>
      <c r="F3" s="34" t="s">
        <v>176</v>
      </c>
      <c r="G3" s="34" t="s">
        <v>238</v>
      </c>
      <c r="H3" s="34" t="s">
        <v>239</v>
      </c>
      <c r="I3" s="34" t="s">
        <v>6</v>
      </c>
      <c r="J3" s="33" t="s">
        <v>7</v>
      </c>
      <c r="K3" s="34" t="s">
        <v>8</v>
      </c>
      <c r="L3" s="70" t="s">
        <v>240</v>
      </c>
      <c r="M3" s="70"/>
      <c r="N3" s="34" t="s">
        <v>262</v>
      </c>
    </row>
    <row r="4" spans="2:14" x14ac:dyDescent="0.25">
      <c r="L4" s="4" t="s">
        <v>99</v>
      </c>
      <c r="M4" s="50" t="s">
        <v>100</v>
      </c>
    </row>
    <row r="5" spans="2:14" x14ac:dyDescent="0.25">
      <c r="B5">
        <v>1</v>
      </c>
      <c r="C5" t="s">
        <v>246</v>
      </c>
      <c r="D5" t="s">
        <v>241</v>
      </c>
      <c r="E5" t="s">
        <v>257</v>
      </c>
      <c r="F5" s="35">
        <v>20000</v>
      </c>
      <c r="G5" s="35">
        <f>F5*35%</f>
        <v>7000</v>
      </c>
      <c r="H5" s="35">
        <f>F5*15%</f>
        <v>3000</v>
      </c>
      <c r="I5" s="35">
        <f>F5*5%</f>
        <v>1000</v>
      </c>
      <c r="J5" s="35">
        <f>F5+G5+H5-I5</f>
        <v>29000</v>
      </c>
      <c r="K5" s="35">
        <f>J5*12</f>
        <v>348000</v>
      </c>
      <c r="L5" s="36" t="str">
        <f>IF(K5&gt;500000,"10%",IF(K5&gt;300000,"7%",IF(K5&gt;200000,"5%",IF(K5&gt;150000,"3%","0"))))</f>
        <v>7%</v>
      </c>
      <c r="M5" s="35">
        <f>K5*L5</f>
        <v>24360.000000000004</v>
      </c>
      <c r="N5" s="35">
        <f>K5-M5</f>
        <v>323640</v>
      </c>
    </row>
    <row r="6" spans="2:14" x14ac:dyDescent="0.25">
      <c r="B6">
        <v>2</v>
      </c>
      <c r="C6" t="s">
        <v>247</v>
      </c>
      <c r="D6" t="s">
        <v>242</v>
      </c>
      <c r="E6" t="s">
        <v>16</v>
      </c>
      <c r="F6" s="35">
        <v>18500</v>
      </c>
      <c r="G6" s="35">
        <f t="shared" ref="G6:G19" si="0">F6*35%</f>
        <v>6475</v>
      </c>
      <c r="H6" s="35">
        <f t="shared" ref="H6:H19" si="1">F6*15%</f>
        <v>2775</v>
      </c>
      <c r="I6" s="35">
        <f t="shared" ref="I6:I19" si="2">F6*5%</f>
        <v>925</v>
      </c>
      <c r="J6" s="35">
        <f t="shared" ref="J6:J19" si="3">F6+G6+H6-I6</f>
        <v>26825</v>
      </c>
      <c r="K6" s="35">
        <f t="shared" ref="K6:K19" si="4">J6*12</f>
        <v>321900</v>
      </c>
      <c r="L6" s="36" t="str">
        <f t="shared" ref="L6:L19" si="5">IF(K6&gt;500000,"10%",IF(K6&gt;300000,"7%",IF(K6&gt;200000,"5%",IF(K6&gt;150000,"3%","0"))))</f>
        <v>7%</v>
      </c>
      <c r="M6" s="35">
        <f t="shared" ref="M6:M19" si="6">K6*L6</f>
        <v>22533.000000000004</v>
      </c>
      <c r="N6" s="35">
        <f t="shared" ref="N6:N19" si="7">K6-M6</f>
        <v>299367</v>
      </c>
    </row>
    <row r="7" spans="2:14" x14ac:dyDescent="0.25">
      <c r="B7">
        <v>3</v>
      </c>
      <c r="C7" t="s">
        <v>250</v>
      </c>
      <c r="D7" t="s">
        <v>243</v>
      </c>
      <c r="E7" t="s">
        <v>17</v>
      </c>
      <c r="F7" s="35">
        <v>17500</v>
      </c>
      <c r="G7" s="35">
        <f t="shared" si="0"/>
        <v>6125</v>
      </c>
      <c r="H7" s="35">
        <f t="shared" si="1"/>
        <v>2625</v>
      </c>
      <c r="I7" s="35">
        <f t="shared" si="2"/>
        <v>875</v>
      </c>
      <c r="J7" s="35">
        <f t="shared" si="3"/>
        <v>25375</v>
      </c>
      <c r="K7" s="35">
        <f t="shared" si="4"/>
        <v>304500</v>
      </c>
      <c r="L7" s="36" t="str">
        <f t="shared" si="5"/>
        <v>7%</v>
      </c>
      <c r="M7" s="35">
        <f t="shared" si="6"/>
        <v>21315.000000000004</v>
      </c>
      <c r="N7" s="35">
        <f t="shared" si="7"/>
        <v>283185</v>
      </c>
    </row>
    <row r="8" spans="2:14" x14ac:dyDescent="0.25">
      <c r="B8">
        <v>4</v>
      </c>
      <c r="C8" t="s">
        <v>248</v>
      </c>
      <c r="D8" t="s">
        <v>241</v>
      </c>
      <c r="E8" t="s">
        <v>17</v>
      </c>
      <c r="F8" s="35">
        <v>16000</v>
      </c>
      <c r="G8" s="35">
        <f t="shared" si="0"/>
        <v>5600</v>
      </c>
      <c r="H8" s="35">
        <f t="shared" si="1"/>
        <v>2400</v>
      </c>
      <c r="I8" s="35">
        <f t="shared" si="2"/>
        <v>800</v>
      </c>
      <c r="J8" s="35">
        <f t="shared" si="3"/>
        <v>23200</v>
      </c>
      <c r="K8" s="35">
        <f t="shared" si="4"/>
        <v>278400</v>
      </c>
      <c r="L8" s="36" t="str">
        <f t="shared" si="5"/>
        <v>5%</v>
      </c>
      <c r="M8" s="35">
        <f t="shared" si="6"/>
        <v>13920</v>
      </c>
      <c r="N8" s="35">
        <f t="shared" si="7"/>
        <v>264480</v>
      </c>
    </row>
    <row r="9" spans="2:14" x14ac:dyDescent="0.25">
      <c r="B9">
        <v>5</v>
      </c>
      <c r="C9" t="s">
        <v>249</v>
      </c>
      <c r="D9" t="s">
        <v>241</v>
      </c>
      <c r="E9" t="s">
        <v>18</v>
      </c>
      <c r="F9" s="35">
        <v>15200</v>
      </c>
      <c r="G9" s="35">
        <f t="shared" si="0"/>
        <v>5320</v>
      </c>
      <c r="H9" s="35">
        <f t="shared" si="1"/>
        <v>2280</v>
      </c>
      <c r="I9" s="35">
        <f t="shared" si="2"/>
        <v>760</v>
      </c>
      <c r="J9" s="35">
        <f t="shared" si="3"/>
        <v>22040</v>
      </c>
      <c r="K9" s="35">
        <f t="shared" si="4"/>
        <v>264480</v>
      </c>
      <c r="L9" s="36" t="str">
        <f t="shared" si="5"/>
        <v>5%</v>
      </c>
      <c r="M9" s="35">
        <f t="shared" si="6"/>
        <v>13224</v>
      </c>
      <c r="N9" s="35">
        <f t="shared" si="7"/>
        <v>251256</v>
      </c>
    </row>
    <row r="10" spans="2:14" x14ac:dyDescent="0.25">
      <c r="B10">
        <v>6</v>
      </c>
      <c r="C10" t="s">
        <v>247</v>
      </c>
      <c r="D10" t="s">
        <v>244</v>
      </c>
      <c r="E10" t="s">
        <v>258</v>
      </c>
      <c r="F10" s="35">
        <v>14000</v>
      </c>
      <c r="G10" s="35">
        <f t="shared" si="0"/>
        <v>4900</v>
      </c>
      <c r="H10" s="35">
        <f t="shared" si="1"/>
        <v>2100</v>
      </c>
      <c r="I10" s="35">
        <f t="shared" si="2"/>
        <v>700</v>
      </c>
      <c r="J10" s="35">
        <f t="shared" si="3"/>
        <v>20300</v>
      </c>
      <c r="K10" s="35">
        <f t="shared" si="4"/>
        <v>243600</v>
      </c>
      <c r="L10" s="36" t="str">
        <f t="shared" si="5"/>
        <v>5%</v>
      </c>
      <c r="M10" s="35">
        <f t="shared" si="6"/>
        <v>12180</v>
      </c>
      <c r="N10" s="35">
        <f t="shared" si="7"/>
        <v>231420</v>
      </c>
    </row>
    <row r="11" spans="2:14" x14ac:dyDescent="0.25">
      <c r="B11">
        <v>7</v>
      </c>
      <c r="C11" t="s">
        <v>251</v>
      </c>
      <c r="D11" t="s">
        <v>242</v>
      </c>
      <c r="E11" t="s">
        <v>258</v>
      </c>
      <c r="F11" s="35">
        <v>12250</v>
      </c>
      <c r="G11" s="35">
        <f t="shared" si="0"/>
        <v>4287.5</v>
      </c>
      <c r="H11" s="35">
        <f t="shared" si="1"/>
        <v>1837.5</v>
      </c>
      <c r="I11" s="35">
        <f t="shared" si="2"/>
        <v>612.5</v>
      </c>
      <c r="J11" s="35">
        <f t="shared" si="3"/>
        <v>17762.5</v>
      </c>
      <c r="K11" s="35">
        <f t="shared" si="4"/>
        <v>213150</v>
      </c>
      <c r="L11" s="36" t="str">
        <f t="shared" si="5"/>
        <v>5%</v>
      </c>
      <c r="M11" s="35">
        <f t="shared" si="6"/>
        <v>10657.5</v>
      </c>
      <c r="N11" s="35">
        <f t="shared" si="7"/>
        <v>202492.5</v>
      </c>
    </row>
    <row r="12" spans="2:14" x14ac:dyDescent="0.25">
      <c r="B12">
        <v>8</v>
      </c>
      <c r="C12" t="s">
        <v>252</v>
      </c>
      <c r="D12" t="s">
        <v>242</v>
      </c>
      <c r="E12" t="s">
        <v>259</v>
      </c>
      <c r="F12" s="35">
        <v>10950</v>
      </c>
      <c r="G12" s="35">
        <f t="shared" si="0"/>
        <v>3832.4999999999995</v>
      </c>
      <c r="H12" s="35">
        <f t="shared" si="1"/>
        <v>1642.5</v>
      </c>
      <c r="I12" s="35">
        <f t="shared" si="2"/>
        <v>547.5</v>
      </c>
      <c r="J12" s="35">
        <f t="shared" si="3"/>
        <v>15877.5</v>
      </c>
      <c r="K12" s="35">
        <f t="shared" si="4"/>
        <v>190530</v>
      </c>
      <c r="L12" s="36" t="str">
        <f t="shared" si="5"/>
        <v>3%</v>
      </c>
      <c r="M12" s="35">
        <f t="shared" si="6"/>
        <v>5715.9</v>
      </c>
      <c r="N12" s="35">
        <f t="shared" si="7"/>
        <v>184814.1</v>
      </c>
    </row>
    <row r="13" spans="2:14" x14ac:dyDescent="0.25">
      <c r="B13">
        <v>9</v>
      </c>
      <c r="C13" t="s">
        <v>246</v>
      </c>
      <c r="D13" t="s">
        <v>245</v>
      </c>
      <c r="E13" t="s">
        <v>259</v>
      </c>
      <c r="F13" s="35">
        <v>9700</v>
      </c>
      <c r="G13" s="35">
        <f t="shared" si="0"/>
        <v>3395</v>
      </c>
      <c r="H13" s="35">
        <f t="shared" si="1"/>
        <v>1455</v>
      </c>
      <c r="I13" s="35">
        <f t="shared" si="2"/>
        <v>485</v>
      </c>
      <c r="J13" s="35">
        <f t="shared" si="3"/>
        <v>14065</v>
      </c>
      <c r="K13" s="35">
        <f t="shared" si="4"/>
        <v>168780</v>
      </c>
      <c r="L13" s="36" t="str">
        <f t="shared" si="5"/>
        <v>3%</v>
      </c>
      <c r="M13" s="35">
        <f t="shared" si="6"/>
        <v>5063.3999999999996</v>
      </c>
      <c r="N13" s="35">
        <f t="shared" si="7"/>
        <v>163716.6</v>
      </c>
    </row>
    <row r="14" spans="2:14" x14ac:dyDescent="0.25">
      <c r="B14">
        <v>10</v>
      </c>
      <c r="C14" t="s">
        <v>253</v>
      </c>
      <c r="D14" t="s">
        <v>241</v>
      </c>
      <c r="E14" t="s">
        <v>260</v>
      </c>
      <c r="F14" s="35">
        <v>8200</v>
      </c>
      <c r="G14" s="35">
        <f t="shared" si="0"/>
        <v>2870</v>
      </c>
      <c r="H14" s="35">
        <f t="shared" si="1"/>
        <v>1230</v>
      </c>
      <c r="I14" s="35">
        <f t="shared" si="2"/>
        <v>410</v>
      </c>
      <c r="J14" s="35">
        <f t="shared" si="3"/>
        <v>11890</v>
      </c>
      <c r="K14" s="35">
        <f t="shared" si="4"/>
        <v>142680</v>
      </c>
      <c r="L14" s="36" t="str">
        <f t="shared" si="5"/>
        <v>0</v>
      </c>
      <c r="M14" s="35">
        <f t="shared" si="6"/>
        <v>0</v>
      </c>
      <c r="N14" s="35">
        <f t="shared" si="7"/>
        <v>142680</v>
      </c>
    </row>
    <row r="15" spans="2:14" x14ac:dyDescent="0.25">
      <c r="B15">
        <v>11</v>
      </c>
      <c r="C15" t="s">
        <v>247</v>
      </c>
      <c r="D15" t="s">
        <v>243</v>
      </c>
      <c r="E15" t="s">
        <v>260</v>
      </c>
      <c r="F15" s="35">
        <v>8200</v>
      </c>
      <c r="G15" s="35">
        <f t="shared" si="0"/>
        <v>2870</v>
      </c>
      <c r="H15" s="35">
        <f t="shared" si="1"/>
        <v>1230</v>
      </c>
      <c r="I15" s="35">
        <f t="shared" si="2"/>
        <v>410</v>
      </c>
      <c r="J15" s="35">
        <f t="shared" si="3"/>
        <v>11890</v>
      </c>
      <c r="K15" s="35">
        <f t="shared" si="4"/>
        <v>142680</v>
      </c>
      <c r="L15" s="36" t="str">
        <f t="shared" si="5"/>
        <v>0</v>
      </c>
      <c r="M15" s="35">
        <f t="shared" si="6"/>
        <v>0</v>
      </c>
      <c r="N15" s="35">
        <f t="shared" si="7"/>
        <v>142680</v>
      </c>
    </row>
    <row r="16" spans="2:14" x14ac:dyDescent="0.25">
      <c r="B16">
        <v>12</v>
      </c>
      <c r="C16" t="s">
        <v>254</v>
      </c>
      <c r="D16" t="s">
        <v>243</v>
      </c>
      <c r="E16" t="s">
        <v>260</v>
      </c>
      <c r="F16" s="35">
        <v>7500</v>
      </c>
      <c r="G16" s="35">
        <f t="shared" si="0"/>
        <v>2625</v>
      </c>
      <c r="H16" s="35">
        <f t="shared" si="1"/>
        <v>1125</v>
      </c>
      <c r="I16" s="35">
        <f t="shared" si="2"/>
        <v>375</v>
      </c>
      <c r="J16" s="35">
        <f t="shared" si="3"/>
        <v>10875</v>
      </c>
      <c r="K16" s="35">
        <f t="shared" si="4"/>
        <v>130500</v>
      </c>
      <c r="L16" s="36" t="str">
        <f t="shared" si="5"/>
        <v>0</v>
      </c>
      <c r="M16" s="35">
        <f t="shared" si="6"/>
        <v>0</v>
      </c>
      <c r="N16" s="35">
        <f t="shared" si="7"/>
        <v>130500</v>
      </c>
    </row>
    <row r="17" spans="2:14" x14ac:dyDescent="0.25">
      <c r="B17">
        <v>13</v>
      </c>
      <c r="C17" t="s">
        <v>246</v>
      </c>
      <c r="D17" t="s">
        <v>242</v>
      </c>
      <c r="E17" t="s">
        <v>260</v>
      </c>
      <c r="F17" s="35">
        <v>6500</v>
      </c>
      <c r="G17" s="35">
        <f t="shared" si="0"/>
        <v>2275</v>
      </c>
      <c r="H17" s="35">
        <f t="shared" si="1"/>
        <v>975</v>
      </c>
      <c r="I17" s="35">
        <f t="shared" si="2"/>
        <v>325</v>
      </c>
      <c r="J17" s="35">
        <f t="shared" si="3"/>
        <v>9425</v>
      </c>
      <c r="K17" s="35">
        <f t="shared" si="4"/>
        <v>113100</v>
      </c>
      <c r="L17" s="36" t="str">
        <f t="shared" si="5"/>
        <v>0</v>
      </c>
      <c r="M17" s="35">
        <f t="shared" si="6"/>
        <v>0</v>
      </c>
      <c r="N17" s="35">
        <f t="shared" si="7"/>
        <v>113100</v>
      </c>
    </row>
    <row r="18" spans="2:14" x14ac:dyDescent="0.25">
      <c r="B18">
        <v>14</v>
      </c>
      <c r="C18" t="s">
        <v>255</v>
      </c>
      <c r="D18" t="s">
        <v>244</v>
      </c>
      <c r="E18" t="s">
        <v>261</v>
      </c>
      <c r="F18" s="35">
        <v>5500</v>
      </c>
      <c r="G18" s="35">
        <f t="shared" si="0"/>
        <v>1924.9999999999998</v>
      </c>
      <c r="H18" s="35">
        <f t="shared" si="1"/>
        <v>825</v>
      </c>
      <c r="I18" s="35">
        <f t="shared" si="2"/>
        <v>275</v>
      </c>
      <c r="J18" s="35">
        <f t="shared" si="3"/>
        <v>7975</v>
      </c>
      <c r="K18" s="35">
        <f t="shared" si="4"/>
        <v>95700</v>
      </c>
      <c r="L18" s="36" t="str">
        <f t="shared" si="5"/>
        <v>0</v>
      </c>
      <c r="M18" s="35">
        <f t="shared" si="6"/>
        <v>0</v>
      </c>
      <c r="N18" s="35">
        <f t="shared" si="7"/>
        <v>95700</v>
      </c>
    </row>
    <row r="19" spans="2:14" x14ac:dyDescent="0.25">
      <c r="B19">
        <v>15</v>
      </c>
      <c r="C19" t="s">
        <v>256</v>
      </c>
      <c r="D19" t="s">
        <v>245</v>
      </c>
      <c r="E19" t="s">
        <v>20</v>
      </c>
      <c r="F19" s="35">
        <v>4500</v>
      </c>
      <c r="G19" s="35">
        <f t="shared" si="0"/>
        <v>1575</v>
      </c>
      <c r="H19" s="35">
        <f t="shared" si="1"/>
        <v>675</v>
      </c>
      <c r="I19" s="35">
        <f t="shared" si="2"/>
        <v>225</v>
      </c>
      <c r="J19" s="35">
        <f t="shared" si="3"/>
        <v>6525</v>
      </c>
      <c r="K19" s="35">
        <f t="shared" si="4"/>
        <v>78300</v>
      </c>
      <c r="L19" s="36" t="str">
        <f t="shared" si="5"/>
        <v>0</v>
      </c>
      <c r="M19" s="35">
        <f t="shared" si="6"/>
        <v>0</v>
      </c>
      <c r="N19" s="35">
        <f t="shared" si="7"/>
        <v>78300</v>
      </c>
    </row>
    <row r="21" spans="2:14" x14ac:dyDescent="0.25">
      <c r="E21" s="51" t="s">
        <v>263</v>
      </c>
      <c r="F21">
        <f>MAX(F5:F20)</f>
        <v>20000</v>
      </c>
      <c r="G21">
        <f>MAX(G5:G19)</f>
        <v>7000</v>
      </c>
      <c r="H21">
        <f>MAX(H5:H19)</f>
        <v>3000</v>
      </c>
      <c r="I21">
        <f>MAX(I5:I19)</f>
        <v>1000</v>
      </c>
      <c r="J21">
        <f>MAX(J5:J19)</f>
        <v>29000</v>
      </c>
      <c r="K21">
        <f>MAX(K5:K19)</f>
        <v>348000</v>
      </c>
      <c r="L21" s="4" t="s">
        <v>51</v>
      </c>
      <c r="M21">
        <f>MAX(M5:M20)</f>
        <v>24360.000000000004</v>
      </c>
      <c r="N21">
        <f>MAX(N5:N19)</f>
        <v>323640</v>
      </c>
    </row>
    <row r="22" spans="2:14" x14ac:dyDescent="0.25">
      <c r="E22" s="51" t="s">
        <v>264</v>
      </c>
      <c r="F22">
        <f t="shared" ref="F22:K22" si="8">MIN(F5:F19)</f>
        <v>4500</v>
      </c>
      <c r="G22">
        <f t="shared" si="8"/>
        <v>1575</v>
      </c>
      <c r="H22">
        <f t="shared" si="8"/>
        <v>675</v>
      </c>
      <c r="I22">
        <f t="shared" si="8"/>
        <v>225</v>
      </c>
      <c r="J22">
        <f t="shared" si="8"/>
        <v>6525</v>
      </c>
      <c r="K22">
        <f t="shared" si="8"/>
        <v>78300</v>
      </c>
      <c r="L22" s="4" t="s">
        <v>51</v>
      </c>
      <c r="M22">
        <f>MIN(M5:M19)</f>
        <v>0</v>
      </c>
      <c r="N22">
        <f>MIN(N5:N19)</f>
        <v>78300</v>
      </c>
    </row>
    <row r="23" spans="2:14" x14ac:dyDescent="0.25">
      <c r="E23" s="51" t="s">
        <v>265</v>
      </c>
      <c r="F23" s="35">
        <f t="shared" ref="F23:K23" si="9">AVERAGE(F5:F19)</f>
        <v>11633.333333333334</v>
      </c>
      <c r="G23" s="35">
        <f t="shared" si="9"/>
        <v>4071.6666666666665</v>
      </c>
      <c r="H23" s="35">
        <f t="shared" si="9"/>
        <v>1745</v>
      </c>
      <c r="I23" s="35">
        <f t="shared" si="9"/>
        <v>581.66666666666663</v>
      </c>
      <c r="J23" s="35">
        <f t="shared" si="9"/>
        <v>16868.333333333332</v>
      </c>
      <c r="K23" s="35">
        <f t="shared" si="9"/>
        <v>202420</v>
      </c>
      <c r="L23" s="4" t="s">
        <v>51</v>
      </c>
      <c r="M23" s="35">
        <f>AVERAGE(M5:M19)</f>
        <v>8597.92</v>
      </c>
      <c r="N23" s="35">
        <f>AVERAGE(N5:N19)</f>
        <v>193822.08000000002</v>
      </c>
    </row>
    <row r="24" spans="2:14" x14ac:dyDescent="0.25">
      <c r="E24" s="51" t="s">
        <v>266</v>
      </c>
      <c r="F24">
        <f>COUNT(B5:B19)</f>
        <v>15</v>
      </c>
      <c r="G24">
        <f>COUNT(B5:B19)</f>
        <v>15</v>
      </c>
      <c r="H24">
        <f>COUNT(B5:B19)</f>
        <v>15</v>
      </c>
      <c r="I24">
        <f>COUNT(B5:B19)</f>
        <v>15</v>
      </c>
      <c r="J24">
        <f>COUNT(B5:B19)</f>
        <v>15</v>
      </c>
      <c r="K24">
        <f>COUNT(B5:B19)</f>
        <v>15</v>
      </c>
      <c r="L24" s="4" t="s">
        <v>51</v>
      </c>
      <c r="M24">
        <f>COUNT(B5:B19)</f>
        <v>15</v>
      </c>
      <c r="N24">
        <f>COUNT(B5:B19)</f>
        <v>15</v>
      </c>
    </row>
  </sheetData>
  <mergeCells count="1">
    <mergeCell ref="L3:M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4AFB-AEEC-4203-B8AC-4068797E8508}">
  <dimension ref="B5:M24"/>
  <sheetViews>
    <sheetView tabSelected="1" zoomScale="80" zoomScaleNormal="80" workbookViewId="0">
      <selection activeCell="O12" sqref="O12"/>
    </sheetView>
  </sheetViews>
  <sheetFormatPr defaultRowHeight="15" x14ac:dyDescent="0.25"/>
  <cols>
    <col min="1" max="1" width="11.42578125" customWidth="1"/>
    <col min="2" max="2" width="9.140625" customWidth="1"/>
    <col min="7" max="7" width="9.140625" customWidth="1"/>
    <col min="9" max="9" width="10" customWidth="1"/>
    <col min="10" max="13" width="9.140625" customWidth="1"/>
  </cols>
  <sheetData>
    <row r="5" spans="2:13" ht="19.5" customHeight="1" x14ac:dyDescent="0.25">
      <c r="B5" s="74"/>
      <c r="C5" s="75"/>
      <c r="D5" s="75"/>
      <c r="E5" s="85" t="s">
        <v>297</v>
      </c>
      <c r="F5" s="85"/>
      <c r="G5" s="85"/>
      <c r="H5" s="85"/>
      <c r="I5" s="85"/>
      <c r="J5" s="85"/>
      <c r="K5" s="75"/>
      <c r="L5" s="75"/>
      <c r="M5" s="31"/>
    </row>
    <row r="6" spans="2:13" ht="18" customHeight="1" x14ac:dyDescent="0.25">
      <c r="B6" s="11"/>
      <c r="D6" s="103" t="s">
        <v>298</v>
      </c>
      <c r="E6" s="103"/>
      <c r="F6" s="103"/>
      <c r="G6" s="103"/>
      <c r="H6" s="103"/>
      <c r="I6" s="103"/>
      <c r="J6" s="103"/>
      <c r="K6" s="103"/>
      <c r="L6" s="84"/>
      <c r="M6" s="25"/>
    </row>
    <row r="7" spans="2:13" ht="12.75" customHeight="1" x14ac:dyDescent="0.25">
      <c r="B7" s="11"/>
      <c r="D7" s="84"/>
      <c r="E7" s="84"/>
      <c r="F7" s="103" t="s">
        <v>299</v>
      </c>
      <c r="G7" s="103"/>
      <c r="H7" s="103"/>
      <c r="I7" s="103"/>
      <c r="J7" s="84"/>
      <c r="K7" s="84"/>
      <c r="L7" s="84"/>
      <c r="M7" s="25"/>
    </row>
    <row r="8" spans="2:13" ht="12" customHeight="1" x14ac:dyDescent="0.25">
      <c r="B8" s="79"/>
      <c r="C8" s="6"/>
      <c r="D8" s="6"/>
      <c r="E8" s="6"/>
      <c r="F8" s="80" t="s">
        <v>300</v>
      </c>
      <c r="G8" s="80"/>
      <c r="H8" s="80"/>
      <c r="I8" s="80"/>
      <c r="J8" s="6"/>
      <c r="K8" s="6"/>
      <c r="L8" s="81"/>
      <c r="M8" s="78"/>
    </row>
    <row r="9" spans="2:13" x14ac:dyDescent="0.25">
      <c r="B9" s="86" t="s">
        <v>271</v>
      </c>
      <c r="C9" s="86"/>
      <c r="D9" s="88" t="s">
        <v>272</v>
      </c>
      <c r="E9" s="88"/>
      <c r="F9" s="88"/>
      <c r="G9" s="88"/>
      <c r="H9" s="86" t="s">
        <v>275</v>
      </c>
      <c r="I9" s="86"/>
      <c r="J9" s="90" t="s">
        <v>279</v>
      </c>
      <c r="K9" s="90"/>
      <c r="L9" s="90"/>
      <c r="M9" s="90"/>
    </row>
    <row r="10" spans="2:13" x14ac:dyDescent="0.25">
      <c r="B10" s="86" t="s">
        <v>268</v>
      </c>
      <c r="C10" s="86"/>
      <c r="D10" s="88" t="s">
        <v>273</v>
      </c>
      <c r="E10" s="88"/>
      <c r="F10" s="88"/>
      <c r="G10" s="88"/>
      <c r="H10" s="86" t="s">
        <v>276</v>
      </c>
      <c r="I10" s="86"/>
      <c r="J10" s="88">
        <v>593287563</v>
      </c>
      <c r="K10" s="88"/>
      <c r="L10" s="88"/>
      <c r="M10" s="88"/>
    </row>
    <row r="11" spans="2:13" x14ac:dyDescent="0.25">
      <c r="B11" s="86" t="s">
        <v>269</v>
      </c>
      <c r="C11" s="86"/>
      <c r="D11" s="88" t="s">
        <v>274</v>
      </c>
      <c r="E11" s="88"/>
      <c r="F11" s="88"/>
      <c r="G11" s="88"/>
      <c r="H11" s="86" t="s">
        <v>277</v>
      </c>
      <c r="I11" s="86"/>
      <c r="J11" s="88" t="s">
        <v>280</v>
      </c>
      <c r="K11" s="88"/>
      <c r="L11" s="88"/>
      <c r="M11" s="88"/>
    </row>
    <row r="12" spans="2:13" ht="15" customHeight="1" thickBot="1" x14ac:dyDescent="0.3">
      <c r="B12" s="87" t="s">
        <v>270</v>
      </c>
      <c r="C12" s="87"/>
      <c r="D12" s="89">
        <v>42000</v>
      </c>
      <c r="E12" s="89"/>
      <c r="F12" s="89"/>
      <c r="G12" s="89"/>
      <c r="H12" s="87" t="s">
        <v>278</v>
      </c>
      <c r="I12" s="87"/>
      <c r="J12" s="91" t="s">
        <v>281</v>
      </c>
      <c r="K12" s="91"/>
      <c r="L12" s="91"/>
      <c r="M12" s="91"/>
    </row>
    <row r="13" spans="2:13" ht="18" customHeight="1" x14ac:dyDescent="0.25">
      <c r="B13" s="82" t="s">
        <v>282</v>
      </c>
      <c r="C13" s="82"/>
      <c r="D13" s="82" t="s">
        <v>117</v>
      </c>
      <c r="E13" s="82"/>
      <c r="F13" s="82" t="s">
        <v>101</v>
      </c>
      <c r="G13" s="82"/>
      <c r="H13" s="82" t="s">
        <v>283</v>
      </c>
      <c r="I13" s="82"/>
      <c r="J13" s="102" t="s">
        <v>284</v>
      </c>
      <c r="K13" s="102" t="s">
        <v>285</v>
      </c>
      <c r="L13" s="82" t="s">
        <v>7</v>
      </c>
      <c r="M13" s="82"/>
    </row>
    <row r="14" spans="2:13" ht="13.5" customHeight="1" x14ac:dyDescent="0.25">
      <c r="B14" s="92" t="s">
        <v>281</v>
      </c>
      <c r="C14" s="92"/>
      <c r="D14" s="93" t="s">
        <v>286</v>
      </c>
      <c r="E14" s="93"/>
      <c r="F14" s="83" t="s">
        <v>287</v>
      </c>
      <c r="G14" s="83"/>
      <c r="H14" s="92">
        <v>8474.58</v>
      </c>
      <c r="I14" s="92"/>
      <c r="J14" s="92">
        <v>762.71</v>
      </c>
      <c r="K14" s="92">
        <v>762.71</v>
      </c>
      <c r="L14" s="94">
        <v>10000</v>
      </c>
      <c r="M14" s="94"/>
    </row>
    <row r="15" spans="2:13" ht="12" customHeight="1" x14ac:dyDescent="0.25">
      <c r="B15" s="92"/>
      <c r="C15" s="92"/>
      <c r="D15" s="93"/>
      <c r="E15" s="93"/>
      <c r="F15" s="83"/>
      <c r="G15" s="83"/>
      <c r="H15" s="92"/>
      <c r="I15" s="92"/>
      <c r="J15" s="92"/>
      <c r="K15" s="92"/>
      <c r="L15" s="94"/>
      <c r="M15" s="94"/>
    </row>
    <row r="16" spans="2:13" ht="13.5" customHeight="1" x14ac:dyDescent="0.25">
      <c r="B16" s="92"/>
      <c r="C16" s="92"/>
      <c r="D16" s="93"/>
      <c r="E16" s="93"/>
      <c r="F16" s="83"/>
      <c r="G16" s="83"/>
      <c r="H16" s="92"/>
      <c r="I16" s="95"/>
      <c r="J16" s="92"/>
      <c r="K16" s="92"/>
      <c r="L16" s="94"/>
      <c r="M16" s="94"/>
    </row>
    <row r="17" spans="2:13" ht="13.5" customHeight="1" x14ac:dyDescent="0.25">
      <c r="B17" s="76" t="s">
        <v>289</v>
      </c>
      <c r="C17" s="73"/>
      <c r="D17" s="98"/>
      <c r="E17" s="98"/>
      <c r="F17" s="98"/>
      <c r="G17" s="98"/>
      <c r="H17" s="98"/>
      <c r="I17" s="96"/>
      <c r="J17" s="84"/>
      <c r="K17" s="84"/>
      <c r="L17" s="84"/>
      <c r="M17" s="25"/>
    </row>
    <row r="18" spans="2:13" ht="13.5" customHeight="1" x14ac:dyDescent="0.25">
      <c r="B18" s="77" t="s">
        <v>290</v>
      </c>
      <c r="C18" s="73"/>
      <c r="D18" s="98"/>
      <c r="E18" s="98"/>
      <c r="F18" s="98"/>
      <c r="G18" s="98"/>
      <c r="H18" s="98"/>
      <c r="I18" s="97"/>
      <c r="J18" s="84"/>
      <c r="K18" s="84"/>
      <c r="L18" s="84"/>
      <c r="M18" s="25"/>
    </row>
    <row r="19" spans="2:13" ht="13.5" customHeight="1" x14ac:dyDescent="0.25">
      <c r="B19" s="77" t="s">
        <v>288</v>
      </c>
      <c r="C19" s="73"/>
      <c r="D19" s="98"/>
      <c r="E19" s="98"/>
      <c r="F19" s="98"/>
      <c r="G19" s="98"/>
      <c r="H19" s="98"/>
      <c r="I19" s="97"/>
      <c r="J19" s="104" t="s">
        <v>295</v>
      </c>
      <c r="K19" s="104"/>
      <c r="L19" s="104"/>
      <c r="M19" s="25"/>
    </row>
    <row r="20" spans="2:13" ht="13.5" customHeight="1" x14ac:dyDescent="0.25">
      <c r="B20" s="77" t="s">
        <v>291</v>
      </c>
      <c r="C20" s="73"/>
      <c r="D20" s="98"/>
      <c r="E20" s="98"/>
      <c r="F20" s="98"/>
      <c r="G20" s="98"/>
      <c r="H20" s="98"/>
      <c r="I20" s="97"/>
      <c r="J20" s="84"/>
      <c r="K20" s="84"/>
      <c r="L20" s="84"/>
      <c r="M20" s="25"/>
    </row>
    <row r="21" spans="2:13" ht="13.5" customHeight="1" x14ac:dyDescent="0.25">
      <c r="B21" s="77" t="s">
        <v>292</v>
      </c>
      <c r="C21" s="73"/>
      <c r="D21" s="98"/>
      <c r="E21" s="98"/>
      <c r="F21" s="98"/>
      <c r="G21" s="98"/>
      <c r="H21" s="98"/>
      <c r="I21" s="97"/>
      <c r="J21" s="84"/>
      <c r="K21" s="84"/>
      <c r="L21" s="84"/>
      <c r="M21" s="25"/>
    </row>
    <row r="22" spans="2:13" ht="13.5" customHeight="1" x14ac:dyDescent="0.25">
      <c r="B22" s="77" t="s">
        <v>293</v>
      </c>
      <c r="C22" s="73"/>
      <c r="D22" s="98"/>
      <c r="E22" s="98"/>
      <c r="F22" s="98"/>
      <c r="G22" s="98"/>
      <c r="H22" s="98"/>
      <c r="I22" s="97"/>
      <c r="J22" s="104" t="s">
        <v>296</v>
      </c>
      <c r="K22" s="104"/>
      <c r="L22" s="104"/>
      <c r="M22" s="25"/>
    </row>
    <row r="23" spans="2:13" ht="13.5" customHeight="1" x14ac:dyDescent="0.25">
      <c r="B23" s="77" t="s">
        <v>294</v>
      </c>
      <c r="C23" s="98"/>
      <c r="D23" s="98"/>
      <c r="E23" s="98"/>
      <c r="F23" s="98"/>
      <c r="G23" s="98"/>
      <c r="H23" s="98"/>
      <c r="I23" s="97"/>
      <c r="J23" s="84"/>
      <c r="K23" s="84"/>
      <c r="L23" s="84"/>
      <c r="M23" s="25"/>
    </row>
    <row r="24" spans="2:13" ht="10.5" customHeight="1" x14ac:dyDescent="0.25">
      <c r="B24" s="99"/>
      <c r="C24" s="100"/>
      <c r="D24" s="100"/>
      <c r="E24" s="100"/>
      <c r="F24" s="100"/>
      <c r="G24" s="100"/>
      <c r="H24" s="100"/>
      <c r="I24" s="101"/>
      <c r="J24" s="79"/>
      <c r="K24" s="6"/>
      <c r="L24" s="6"/>
      <c r="M24" s="78"/>
    </row>
  </sheetData>
  <mergeCells count="32">
    <mergeCell ref="B14:C16"/>
    <mergeCell ref="D14:E16"/>
    <mergeCell ref="H14:I16"/>
    <mergeCell ref="J14:J16"/>
    <mergeCell ref="K14:K16"/>
    <mergeCell ref="L14:M16"/>
    <mergeCell ref="D6:K6"/>
    <mergeCell ref="E5:J5"/>
    <mergeCell ref="F7:I7"/>
    <mergeCell ref="F8:I8"/>
    <mergeCell ref="H13:I13"/>
    <mergeCell ref="L13:M13"/>
    <mergeCell ref="F14:G16"/>
    <mergeCell ref="B13:C13"/>
    <mergeCell ref="J9:M9"/>
    <mergeCell ref="J10:M10"/>
    <mergeCell ref="J11:M11"/>
    <mergeCell ref="J12:M12"/>
    <mergeCell ref="D13:E13"/>
    <mergeCell ref="F13:G13"/>
    <mergeCell ref="H10:I10"/>
    <mergeCell ref="H11:I11"/>
    <mergeCell ref="H12:I12"/>
    <mergeCell ref="H9:I9"/>
    <mergeCell ref="D9:G9"/>
    <mergeCell ref="D10:G10"/>
    <mergeCell ref="D11:G11"/>
    <mergeCell ref="D12:G12"/>
    <mergeCell ref="B9:C9"/>
    <mergeCell ref="B10:C10"/>
    <mergeCell ref="B11:C11"/>
    <mergeCell ref="B12:C12"/>
  </mergeCells>
  <hyperlinks>
    <hyperlink ref="F8" r:id="rId1" xr:uid="{F997B018-76C8-446B-A312-26A81F586582}"/>
  </hyperlinks>
  <printOptions horizontalCentered="1" verticalCentered="1"/>
  <pageMargins left="0.7" right="0.7" top="0.75" bottom="0.75" header="0.3" footer="0.3"/>
  <pageSetup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C3EB-D067-47BF-9710-57F37DEB0948}">
  <dimension ref="C3:L54"/>
  <sheetViews>
    <sheetView zoomScale="70" zoomScaleNormal="70" workbookViewId="0">
      <selection activeCell="N19" sqref="N19"/>
    </sheetView>
  </sheetViews>
  <sheetFormatPr defaultRowHeight="15" x14ac:dyDescent="0.25"/>
  <cols>
    <col min="4" max="4" width="9.140625" customWidth="1"/>
    <col min="9" max="10" width="9.5703125" customWidth="1"/>
    <col min="11" max="11" width="10.28515625" customWidth="1"/>
  </cols>
  <sheetData>
    <row r="3" spans="3:12" x14ac:dyDescent="0.25">
      <c r="C3" s="52" t="s">
        <v>22</v>
      </c>
      <c r="D3" s="53"/>
      <c r="E3" s="53"/>
      <c r="F3" s="53"/>
      <c r="G3" s="53"/>
      <c r="H3" s="53"/>
      <c r="I3" s="53"/>
      <c r="J3" s="53"/>
      <c r="K3" s="53"/>
    </row>
    <row r="4" spans="3:12" x14ac:dyDescent="0.25">
      <c r="C4" s="53"/>
      <c r="D4" s="53"/>
      <c r="E4" s="53"/>
      <c r="F4" s="53"/>
      <c r="G4" s="53"/>
      <c r="H4" s="53"/>
      <c r="I4" s="53"/>
      <c r="J4" s="53"/>
      <c r="K4" s="53"/>
    </row>
    <row r="7" spans="3:12" x14ac:dyDescent="0.25">
      <c r="C7" s="4" t="s">
        <v>23</v>
      </c>
      <c r="D7" t="s">
        <v>26</v>
      </c>
      <c r="I7" s="4" t="s">
        <v>24</v>
      </c>
      <c r="J7" t="s">
        <v>27</v>
      </c>
    </row>
    <row r="9" spans="3:12" x14ac:dyDescent="0.25">
      <c r="C9" s="54" t="s">
        <v>25</v>
      </c>
      <c r="I9" s="54" t="s">
        <v>28</v>
      </c>
    </row>
    <row r="10" spans="3:12" x14ac:dyDescent="0.25">
      <c r="C10" s="54"/>
      <c r="D10" t="s">
        <v>27</v>
      </c>
      <c r="I10" s="54"/>
      <c r="J10" t="s">
        <v>27</v>
      </c>
    </row>
    <row r="13" spans="3:12" ht="19.5" customHeight="1" x14ac:dyDescent="0.25">
      <c r="C13" s="55" t="s">
        <v>29</v>
      </c>
      <c r="D13" s="57" t="s">
        <v>1</v>
      </c>
      <c r="E13" s="58"/>
      <c r="F13" s="63" t="s">
        <v>30</v>
      </c>
      <c r="G13" s="63" t="s">
        <v>31</v>
      </c>
      <c r="H13" s="63" t="s">
        <v>32</v>
      </c>
      <c r="I13" s="57" t="s">
        <v>33</v>
      </c>
      <c r="J13" s="61"/>
      <c r="K13" s="58"/>
    </row>
    <row r="14" spans="3:12" ht="15" customHeight="1" x14ac:dyDescent="0.25">
      <c r="C14" s="56"/>
      <c r="D14" s="59"/>
      <c r="E14" s="60"/>
      <c r="F14" s="64"/>
      <c r="G14" s="64"/>
      <c r="H14" s="64"/>
      <c r="I14" s="59"/>
      <c r="J14" s="62"/>
      <c r="K14" s="62"/>
      <c r="L14" s="11"/>
    </row>
    <row r="15" spans="3:12" ht="17.25" customHeight="1" x14ac:dyDescent="0.3">
      <c r="C15" s="13"/>
      <c r="D15" s="5"/>
      <c r="E15" s="5"/>
      <c r="F15" s="13"/>
      <c r="G15" s="5"/>
      <c r="H15" s="13"/>
      <c r="I15" s="9" t="s">
        <v>34</v>
      </c>
      <c r="J15" s="9" t="s">
        <v>35</v>
      </c>
      <c r="K15" s="9" t="s">
        <v>36</v>
      </c>
      <c r="L15" s="11"/>
    </row>
    <row r="16" spans="3:12" ht="15.75" x14ac:dyDescent="0.25">
      <c r="C16" s="12">
        <v>1</v>
      </c>
      <c r="D16" t="s">
        <v>40</v>
      </c>
      <c r="E16" s="7"/>
      <c r="F16" s="16"/>
      <c r="G16" s="7"/>
      <c r="H16" s="16"/>
      <c r="I16" s="10"/>
      <c r="J16" s="10"/>
      <c r="K16" s="10"/>
      <c r="L16" s="11"/>
    </row>
    <row r="17" spans="3:12" ht="15.75" x14ac:dyDescent="0.25">
      <c r="C17" s="12"/>
      <c r="F17" s="16"/>
      <c r="G17" s="7"/>
      <c r="H17" s="16"/>
      <c r="I17" s="9" t="s">
        <v>37</v>
      </c>
      <c r="J17" s="9" t="s">
        <v>38</v>
      </c>
      <c r="K17" s="9" t="s">
        <v>39</v>
      </c>
      <c r="L17" s="11"/>
    </row>
    <row r="18" spans="3:12" x14ac:dyDescent="0.25">
      <c r="C18" s="14"/>
      <c r="D18" s="8"/>
      <c r="E18" s="8"/>
      <c r="F18" s="14"/>
      <c r="G18" s="8"/>
      <c r="H18" s="14"/>
      <c r="I18" s="6"/>
      <c r="J18" s="6"/>
      <c r="K18" s="6"/>
      <c r="L18" s="11"/>
    </row>
    <row r="19" spans="3:12" x14ac:dyDescent="0.25">
      <c r="C19" s="12"/>
      <c r="F19" s="12"/>
      <c r="H19" s="12"/>
      <c r="L19" s="11"/>
    </row>
    <row r="20" spans="3:12" x14ac:dyDescent="0.25">
      <c r="C20" s="12">
        <v>2</v>
      </c>
      <c r="D20" t="s">
        <v>60</v>
      </c>
      <c r="F20" s="12"/>
      <c r="H20" s="12"/>
      <c r="L20" s="11"/>
    </row>
    <row r="21" spans="3:12" x14ac:dyDescent="0.25">
      <c r="C21" s="12"/>
      <c r="F21" s="12"/>
      <c r="H21" s="12"/>
      <c r="L21" s="11"/>
    </row>
    <row r="22" spans="3:12" x14ac:dyDescent="0.25">
      <c r="C22" s="15"/>
      <c r="D22" s="6"/>
      <c r="E22" s="6"/>
      <c r="F22" s="15"/>
      <c r="G22" s="6"/>
      <c r="H22" s="15"/>
      <c r="I22" s="6"/>
      <c r="J22" s="6"/>
      <c r="K22" s="6"/>
      <c r="L22" s="11"/>
    </row>
    <row r="23" spans="3:12" x14ac:dyDescent="0.25">
      <c r="C23" s="12"/>
      <c r="F23" s="12"/>
      <c r="H23" s="12"/>
      <c r="I23" s="4"/>
      <c r="J23" s="4"/>
      <c r="L23" s="11"/>
    </row>
    <row r="24" spans="3:12" x14ac:dyDescent="0.25">
      <c r="C24" s="12">
        <v>3</v>
      </c>
      <c r="D24" t="s">
        <v>41</v>
      </c>
      <c r="F24" s="12"/>
      <c r="H24" s="12"/>
      <c r="L24" s="11"/>
    </row>
    <row r="25" spans="3:12" x14ac:dyDescent="0.25">
      <c r="C25" s="12"/>
      <c r="F25" s="12"/>
      <c r="H25" s="12"/>
      <c r="L25" s="11"/>
    </row>
    <row r="26" spans="3:12" x14ac:dyDescent="0.25">
      <c r="C26" s="15"/>
      <c r="D26" s="6"/>
      <c r="E26" s="6"/>
      <c r="F26" s="15"/>
      <c r="G26" s="6"/>
      <c r="H26" s="15"/>
      <c r="I26" s="6"/>
      <c r="J26" s="6"/>
      <c r="K26" s="6"/>
      <c r="L26" s="11"/>
    </row>
    <row r="27" spans="3:12" x14ac:dyDescent="0.25">
      <c r="C27" s="12"/>
      <c r="F27" s="12"/>
      <c r="H27" s="12"/>
      <c r="L27" s="11"/>
    </row>
    <row r="28" spans="3:12" x14ac:dyDescent="0.25">
      <c r="C28" s="12">
        <v>4</v>
      </c>
      <c r="D28" t="s">
        <v>59</v>
      </c>
      <c r="F28" s="12"/>
      <c r="H28" s="12"/>
      <c r="L28" s="11"/>
    </row>
    <row r="29" spans="3:12" x14ac:dyDescent="0.25">
      <c r="C29" s="12"/>
      <c r="F29" s="12"/>
      <c r="H29" s="12"/>
      <c r="L29" s="11"/>
    </row>
    <row r="30" spans="3:12" x14ac:dyDescent="0.25">
      <c r="C30" s="15"/>
      <c r="D30" s="6"/>
      <c r="E30" s="6"/>
      <c r="F30" s="15"/>
      <c r="G30" s="6"/>
      <c r="H30" s="15"/>
      <c r="I30" s="6"/>
      <c r="J30" s="6"/>
      <c r="K30" s="6"/>
      <c r="L30" s="11"/>
    </row>
    <row r="31" spans="3:12" x14ac:dyDescent="0.25">
      <c r="C31" s="12"/>
      <c r="F31" s="12"/>
      <c r="H31" s="12"/>
      <c r="L31" s="11"/>
    </row>
    <row r="32" spans="3:12" x14ac:dyDescent="0.25">
      <c r="C32" s="12">
        <v>5</v>
      </c>
      <c r="D32" t="s">
        <v>61</v>
      </c>
      <c r="F32" s="12"/>
      <c r="H32" s="12"/>
      <c r="L32" s="11"/>
    </row>
    <row r="33" spans="3:12" x14ac:dyDescent="0.25">
      <c r="C33" s="12"/>
      <c r="F33" s="12"/>
      <c r="H33" s="12"/>
      <c r="L33" s="11"/>
    </row>
    <row r="34" spans="3:12" x14ac:dyDescent="0.25">
      <c r="C34" s="15"/>
      <c r="D34" s="6"/>
      <c r="E34" s="6"/>
      <c r="F34" s="15"/>
      <c r="G34" s="6"/>
      <c r="H34" s="15"/>
      <c r="I34" s="6"/>
      <c r="J34" s="6"/>
      <c r="K34" s="6"/>
      <c r="L34" s="11"/>
    </row>
    <row r="35" spans="3:12" x14ac:dyDescent="0.25">
      <c r="C35" s="12"/>
      <c r="F35" s="12"/>
      <c r="H35" s="12"/>
      <c r="L35" s="11"/>
    </row>
    <row r="36" spans="3:12" x14ac:dyDescent="0.25">
      <c r="C36" s="12">
        <v>6</v>
      </c>
      <c r="D36" t="s">
        <v>62</v>
      </c>
      <c r="F36" s="12"/>
      <c r="H36" s="12"/>
      <c r="L36" s="11"/>
    </row>
    <row r="37" spans="3:12" x14ac:dyDescent="0.25">
      <c r="C37" s="12"/>
      <c r="F37" s="12"/>
      <c r="H37" s="12"/>
      <c r="L37" s="11"/>
    </row>
    <row r="38" spans="3:12" x14ac:dyDescent="0.25">
      <c r="C38" s="15"/>
      <c r="D38" s="6"/>
      <c r="E38" s="6"/>
      <c r="F38" s="15"/>
      <c r="G38" s="6"/>
      <c r="H38" s="15"/>
      <c r="I38" s="6"/>
      <c r="J38" s="6"/>
      <c r="K38" s="6"/>
      <c r="L38" s="11"/>
    </row>
    <row r="39" spans="3:12" x14ac:dyDescent="0.25">
      <c r="C39" s="12"/>
      <c r="F39" s="12"/>
      <c r="H39" s="12"/>
      <c r="L39" s="11"/>
    </row>
    <row r="40" spans="3:12" x14ac:dyDescent="0.25">
      <c r="C40" s="12">
        <v>7</v>
      </c>
      <c r="D40" t="s">
        <v>63</v>
      </c>
      <c r="F40" s="12"/>
      <c r="H40" s="12"/>
      <c r="L40" s="11"/>
    </row>
    <row r="41" spans="3:12" x14ac:dyDescent="0.25">
      <c r="C41" s="12"/>
      <c r="F41" s="12"/>
      <c r="H41" s="12"/>
      <c r="L41" s="11"/>
    </row>
    <row r="42" spans="3:12" x14ac:dyDescent="0.25">
      <c r="C42" s="15"/>
      <c r="D42" s="6"/>
      <c r="E42" s="6"/>
      <c r="F42" s="15"/>
      <c r="G42" s="6"/>
      <c r="H42" s="15"/>
      <c r="I42" s="6"/>
      <c r="J42" s="6"/>
      <c r="K42" s="6"/>
      <c r="L42" s="11"/>
    </row>
    <row r="43" spans="3:12" x14ac:dyDescent="0.25">
      <c r="C43" s="12"/>
      <c r="F43" s="12"/>
      <c r="H43" s="12"/>
      <c r="L43" s="11"/>
    </row>
    <row r="44" spans="3:12" x14ac:dyDescent="0.25">
      <c r="C44" s="12">
        <v>8</v>
      </c>
      <c r="D44" t="s">
        <v>64</v>
      </c>
      <c r="F44" s="12"/>
      <c r="H44" s="12"/>
      <c r="L44" s="11"/>
    </row>
    <row r="45" spans="3:12" x14ac:dyDescent="0.25">
      <c r="C45" s="12"/>
      <c r="F45" s="12"/>
      <c r="H45" s="12"/>
      <c r="L45" s="11"/>
    </row>
    <row r="46" spans="3:12" x14ac:dyDescent="0.25">
      <c r="C46" s="15"/>
      <c r="D46" s="6"/>
      <c r="E46" s="6"/>
      <c r="F46" s="15"/>
      <c r="G46" s="6"/>
      <c r="H46" s="15"/>
      <c r="I46" s="6"/>
      <c r="J46" s="6"/>
      <c r="K46" s="6"/>
      <c r="L46" s="11"/>
    </row>
    <row r="47" spans="3:12" x14ac:dyDescent="0.25">
      <c r="C47" s="12"/>
      <c r="F47" s="12"/>
      <c r="H47" s="12"/>
      <c r="L47" s="11"/>
    </row>
    <row r="48" spans="3:12" x14ac:dyDescent="0.25">
      <c r="C48" s="12">
        <v>9</v>
      </c>
      <c r="D48" t="s">
        <v>65</v>
      </c>
      <c r="F48" s="12"/>
      <c r="H48" s="12"/>
      <c r="L48" s="11"/>
    </row>
    <row r="49" spans="3:12" x14ac:dyDescent="0.25">
      <c r="C49" s="12"/>
      <c r="F49" s="12"/>
      <c r="H49" s="12"/>
      <c r="L49" s="11"/>
    </row>
    <row r="50" spans="3:12" x14ac:dyDescent="0.25">
      <c r="C50" s="15"/>
      <c r="D50" s="6"/>
      <c r="E50" s="6"/>
      <c r="F50" s="15"/>
      <c r="G50" s="6"/>
      <c r="H50" s="15"/>
      <c r="I50" s="6"/>
      <c r="J50" s="6"/>
      <c r="K50" s="6"/>
      <c r="L50" s="11"/>
    </row>
    <row r="51" spans="3:12" x14ac:dyDescent="0.25">
      <c r="C51" s="12"/>
      <c r="F51" s="12"/>
      <c r="H51" s="12"/>
      <c r="L51" s="11"/>
    </row>
    <row r="52" spans="3:12" x14ac:dyDescent="0.25">
      <c r="C52" s="12">
        <v>10</v>
      </c>
      <c r="D52" t="s">
        <v>66</v>
      </c>
      <c r="F52" s="12"/>
      <c r="H52" s="12"/>
      <c r="L52" s="11"/>
    </row>
    <row r="53" spans="3:12" x14ac:dyDescent="0.25">
      <c r="C53" s="12"/>
      <c r="F53" s="12"/>
      <c r="H53" s="12"/>
      <c r="L53" s="11"/>
    </row>
    <row r="54" spans="3:12" x14ac:dyDescent="0.25">
      <c r="C54" s="15"/>
      <c r="D54" s="6"/>
      <c r="E54" s="6"/>
      <c r="F54" s="15"/>
      <c r="G54" s="6"/>
      <c r="H54" s="15"/>
      <c r="I54" s="6"/>
      <c r="J54" s="6"/>
      <c r="K54" s="6"/>
      <c r="L54" s="11"/>
    </row>
  </sheetData>
  <mergeCells count="9">
    <mergeCell ref="C3:K4"/>
    <mergeCell ref="C9:C10"/>
    <mergeCell ref="I9:I10"/>
    <mergeCell ref="C13:C14"/>
    <mergeCell ref="D13:E14"/>
    <mergeCell ref="I13:K14"/>
    <mergeCell ref="F13:F14"/>
    <mergeCell ref="G13:G14"/>
    <mergeCell ref="H13:H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B8E3F-9555-4925-9773-1AD86FDBF76B}">
  <dimension ref="C4:L24"/>
  <sheetViews>
    <sheetView zoomScale="90" zoomScaleNormal="90" workbookViewId="0">
      <selection activeCell="I18" sqref="I18"/>
    </sheetView>
  </sheetViews>
  <sheetFormatPr defaultRowHeight="15" x14ac:dyDescent="0.25"/>
  <cols>
    <col min="4" max="4" width="17.5703125" customWidth="1"/>
    <col min="5" max="5" width="7.42578125" customWidth="1"/>
    <col min="6" max="6" width="7.5703125" customWidth="1"/>
    <col min="7" max="7" width="11" customWidth="1"/>
    <col min="9" max="9" width="9" customWidth="1"/>
  </cols>
  <sheetData>
    <row r="4" spans="3:12" ht="20.25" customHeight="1" x14ac:dyDescent="0.3">
      <c r="C4" s="20" t="s">
        <v>55</v>
      </c>
      <c r="D4" s="65" t="s">
        <v>67</v>
      </c>
      <c r="E4" s="65"/>
      <c r="F4" s="61"/>
      <c r="G4" s="21" t="s">
        <v>54</v>
      </c>
    </row>
    <row r="5" spans="3:12" ht="14.25" customHeight="1" x14ac:dyDescent="0.25">
      <c r="C5" s="19" t="s">
        <v>69</v>
      </c>
      <c r="D5" s="12"/>
      <c r="E5" s="24"/>
      <c r="F5" s="32"/>
      <c r="G5" s="31"/>
    </row>
    <row r="6" spans="3:12" ht="12" customHeight="1" x14ac:dyDescent="0.25">
      <c r="C6" s="24"/>
      <c r="D6" s="66" t="s">
        <v>68</v>
      </c>
      <c r="E6" s="66"/>
      <c r="F6" s="66"/>
      <c r="G6" s="25"/>
    </row>
    <row r="7" spans="3:12" ht="10.5" customHeight="1" x14ac:dyDescent="0.25">
      <c r="C7" s="22"/>
      <c r="G7" s="23" t="s">
        <v>58</v>
      </c>
    </row>
    <row r="8" spans="3:12" ht="15.75" x14ac:dyDescent="0.25">
      <c r="C8" s="26" t="s">
        <v>0</v>
      </c>
      <c r="D8" s="26" t="s">
        <v>42</v>
      </c>
      <c r="E8" s="26" t="s">
        <v>43</v>
      </c>
      <c r="F8" s="26" t="s">
        <v>44</v>
      </c>
      <c r="G8" s="26" t="s">
        <v>7</v>
      </c>
    </row>
    <row r="9" spans="3:12" x14ac:dyDescent="0.25">
      <c r="C9" s="12"/>
      <c r="D9" s="12"/>
      <c r="E9" s="12"/>
      <c r="F9" s="12"/>
      <c r="G9" s="12"/>
      <c r="K9" s="18"/>
    </row>
    <row r="10" spans="3:12" x14ac:dyDescent="0.25">
      <c r="C10" s="12">
        <v>1</v>
      </c>
      <c r="D10" s="12" t="s">
        <v>45</v>
      </c>
      <c r="E10" s="12">
        <v>1</v>
      </c>
      <c r="F10" s="12">
        <v>800</v>
      </c>
      <c r="G10" s="12">
        <f>F10*E10</f>
        <v>800</v>
      </c>
    </row>
    <row r="11" spans="3:12" x14ac:dyDescent="0.25">
      <c r="C11" s="12">
        <v>2</v>
      </c>
      <c r="D11" s="12" t="s">
        <v>46</v>
      </c>
      <c r="E11" s="12">
        <v>2</v>
      </c>
      <c r="F11" s="12">
        <v>600</v>
      </c>
      <c r="G11" s="12">
        <f>F11*E11</f>
        <v>1200</v>
      </c>
    </row>
    <row r="12" spans="3:12" x14ac:dyDescent="0.25">
      <c r="C12" s="12">
        <v>3</v>
      </c>
      <c r="D12" s="12" t="s">
        <v>47</v>
      </c>
      <c r="E12" s="12">
        <v>2</v>
      </c>
      <c r="F12" s="12">
        <v>350</v>
      </c>
      <c r="G12" s="12">
        <f>F12*E12</f>
        <v>700</v>
      </c>
    </row>
    <row r="13" spans="3:12" x14ac:dyDescent="0.25">
      <c r="C13" s="12">
        <v>4</v>
      </c>
      <c r="D13" s="12" t="s">
        <v>48</v>
      </c>
      <c r="E13" s="12">
        <v>1</v>
      </c>
      <c r="F13" s="12">
        <v>300</v>
      </c>
      <c r="G13" s="12">
        <f>F13*E13</f>
        <v>300</v>
      </c>
      <c r="L13" s="18"/>
    </row>
    <row r="14" spans="3:12" x14ac:dyDescent="0.25">
      <c r="C14" s="12">
        <v>5</v>
      </c>
      <c r="D14" s="12" t="s">
        <v>49</v>
      </c>
      <c r="E14" s="12">
        <v>1</v>
      </c>
      <c r="F14" s="12">
        <v>100</v>
      </c>
      <c r="G14" s="15">
        <f>F14*E14</f>
        <v>100</v>
      </c>
    </row>
    <row r="15" spans="3:12" x14ac:dyDescent="0.25">
      <c r="C15" s="12"/>
      <c r="D15" s="12"/>
      <c r="E15" s="12"/>
      <c r="F15" s="12"/>
      <c r="G15" s="12"/>
    </row>
    <row r="16" spans="3:12" x14ac:dyDescent="0.25">
      <c r="C16" s="12"/>
      <c r="D16" s="12" t="s">
        <v>7</v>
      </c>
      <c r="E16" s="12"/>
      <c r="F16" s="12"/>
      <c r="G16" s="12">
        <f>SUM(G10:G15)</f>
        <v>3100</v>
      </c>
    </row>
    <row r="17" spans="3:7" x14ac:dyDescent="0.25">
      <c r="C17" s="27" t="s">
        <v>57</v>
      </c>
      <c r="D17" s="12" t="s">
        <v>52</v>
      </c>
      <c r="E17" s="12"/>
      <c r="F17" s="28" t="s">
        <v>51</v>
      </c>
      <c r="G17" s="15">
        <f>G16*15%</f>
        <v>465</v>
      </c>
    </row>
    <row r="18" spans="3:7" x14ac:dyDescent="0.25">
      <c r="C18" s="12"/>
      <c r="D18" s="12"/>
      <c r="E18" s="12"/>
      <c r="F18" s="12"/>
      <c r="G18" s="12">
        <f>G16-G17</f>
        <v>2635</v>
      </c>
    </row>
    <row r="19" spans="3:7" x14ac:dyDescent="0.25">
      <c r="C19" s="28"/>
      <c r="D19" s="12" t="s">
        <v>53</v>
      </c>
      <c r="E19" s="12"/>
      <c r="F19" s="28" t="s">
        <v>50</v>
      </c>
      <c r="G19" s="15">
        <f>G18*5%</f>
        <v>131.75</v>
      </c>
    </row>
    <row r="20" spans="3:7" ht="15.75" thickBot="1" x14ac:dyDescent="0.3">
      <c r="C20" s="12"/>
      <c r="D20" s="16" t="s">
        <v>56</v>
      </c>
      <c r="E20" s="12"/>
      <c r="F20" s="11"/>
      <c r="G20" s="30">
        <f>SUM(G18:G19)</f>
        <v>2766.75</v>
      </c>
    </row>
    <row r="21" spans="3:7" ht="15.75" thickTop="1" x14ac:dyDescent="0.25">
      <c r="C21" s="15"/>
      <c r="D21" s="15"/>
      <c r="E21" s="15"/>
      <c r="F21" s="15"/>
      <c r="G21" s="29"/>
    </row>
    <row r="22" spans="3:7" x14ac:dyDescent="0.25">
      <c r="F22" s="4"/>
    </row>
    <row r="23" spans="3:7" x14ac:dyDescent="0.25">
      <c r="F23" s="4"/>
    </row>
    <row r="24" spans="3:7" x14ac:dyDescent="0.25">
      <c r="F24" s="4"/>
    </row>
  </sheetData>
  <mergeCells count="2">
    <mergeCell ref="D4:F4"/>
    <mergeCell ref="D6:F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8A5F-D73C-4951-B062-193241B2E6FD}">
  <dimension ref="B4:J22"/>
  <sheetViews>
    <sheetView zoomScale="90" zoomScaleNormal="90" workbookViewId="0">
      <selection activeCell="H20" sqref="H20"/>
    </sheetView>
  </sheetViews>
  <sheetFormatPr defaultRowHeight="15" x14ac:dyDescent="0.25"/>
  <cols>
    <col min="2" max="2" width="11.5703125" customWidth="1"/>
    <col min="3" max="3" width="11" customWidth="1"/>
    <col min="6" max="6" width="11" customWidth="1"/>
    <col min="7" max="7" width="9.5703125" customWidth="1"/>
    <col min="15" max="15" width="10.140625" customWidth="1"/>
  </cols>
  <sheetData>
    <row r="4" spans="2:10" ht="15.75" x14ac:dyDescent="0.25">
      <c r="B4" s="33" t="s">
        <v>70</v>
      </c>
      <c r="C4" s="33" t="s">
        <v>71</v>
      </c>
      <c r="D4" s="33" t="s">
        <v>72</v>
      </c>
    </row>
    <row r="6" spans="2:10" x14ac:dyDescent="0.25">
      <c r="B6" t="s">
        <v>73</v>
      </c>
      <c r="C6" t="s">
        <v>79</v>
      </c>
      <c r="D6">
        <v>1000</v>
      </c>
    </row>
    <row r="7" spans="2:10" x14ac:dyDescent="0.25">
      <c r="B7" t="s">
        <v>74</v>
      </c>
      <c r="C7" t="s">
        <v>80</v>
      </c>
      <c r="D7">
        <v>2500</v>
      </c>
      <c r="G7" s="67" t="s">
        <v>87</v>
      </c>
      <c r="H7" s="67"/>
      <c r="I7" s="67"/>
      <c r="J7">
        <f>SUMIF(B6:B14,"Margo",D6:D14)</f>
        <v>2800</v>
      </c>
    </row>
    <row r="8" spans="2:10" x14ac:dyDescent="0.25">
      <c r="B8" t="s">
        <v>75</v>
      </c>
      <c r="C8" t="s">
        <v>81</v>
      </c>
      <c r="D8">
        <v>3200</v>
      </c>
      <c r="G8" s="67" t="s">
        <v>88</v>
      </c>
      <c r="H8" s="67"/>
      <c r="I8" s="67"/>
      <c r="J8">
        <f>SUMIF(C6:C14,"March",D6:D14)</f>
        <v>11400</v>
      </c>
    </row>
    <row r="9" spans="2:10" x14ac:dyDescent="0.25">
      <c r="B9" t="s">
        <v>73</v>
      </c>
      <c r="C9" t="s">
        <v>80</v>
      </c>
      <c r="D9">
        <v>1800</v>
      </c>
      <c r="G9" s="67" t="s">
        <v>83</v>
      </c>
      <c r="H9" s="67"/>
      <c r="I9" s="67"/>
      <c r="J9">
        <f>SUMIF(D6:D14,"&gt;2500")</f>
        <v>13700</v>
      </c>
    </row>
    <row r="10" spans="2:10" x14ac:dyDescent="0.25">
      <c r="B10" t="s">
        <v>76</v>
      </c>
      <c r="C10" t="s">
        <v>81</v>
      </c>
      <c r="D10">
        <v>3200</v>
      </c>
      <c r="G10" s="67" t="s">
        <v>82</v>
      </c>
      <c r="H10" s="67"/>
      <c r="I10" s="67"/>
      <c r="J10">
        <f>SUMIF(D6:D14,"&lt;=2500")</f>
        <v>9200</v>
      </c>
    </row>
    <row r="11" spans="2:10" x14ac:dyDescent="0.25">
      <c r="B11" t="s">
        <v>77</v>
      </c>
      <c r="C11" t="s">
        <v>81</v>
      </c>
      <c r="D11">
        <v>4100</v>
      </c>
      <c r="G11" s="67" t="s">
        <v>84</v>
      </c>
      <c r="H11" s="67"/>
      <c r="I11" s="67"/>
      <c r="J11">
        <f>COUNTIF(B6:B14,"Manipal")</f>
        <v>2</v>
      </c>
    </row>
    <row r="12" spans="2:10" x14ac:dyDescent="0.25">
      <c r="B12" t="s">
        <v>78</v>
      </c>
      <c r="C12" t="s">
        <v>80</v>
      </c>
      <c r="D12">
        <v>2100</v>
      </c>
      <c r="G12" s="67" t="s">
        <v>85</v>
      </c>
      <c r="H12" s="67"/>
      <c r="I12" s="67"/>
      <c r="J12">
        <f>COUNTIF(C6:C14,"Febuary")</f>
        <v>3</v>
      </c>
    </row>
    <row r="13" spans="2:10" x14ac:dyDescent="0.25">
      <c r="B13" t="s">
        <v>75</v>
      </c>
      <c r="C13" t="s">
        <v>80</v>
      </c>
      <c r="D13">
        <v>3200</v>
      </c>
      <c r="G13" s="67" t="s">
        <v>86</v>
      </c>
      <c r="H13" s="67"/>
      <c r="I13" s="67"/>
      <c r="J13">
        <f>COUNTIF(D6:D14,"&gt;3000")</f>
        <v>4</v>
      </c>
    </row>
    <row r="14" spans="2:10" x14ac:dyDescent="0.25">
      <c r="B14" t="s">
        <v>77</v>
      </c>
      <c r="C14" t="s">
        <v>80</v>
      </c>
      <c r="D14">
        <v>1800</v>
      </c>
    </row>
    <row r="18" spans="3:6" x14ac:dyDescent="0.25">
      <c r="C18" t="s">
        <v>95</v>
      </c>
    </row>
    <row r="20" spans="3:6" x14ac:dyDescent="0.25">
      <c r="C20" t="s">
        <v>89</v>
      </c>
      <c r="D20" t="s">
        <v>90</v>
      </c>
    </row>
    <row r="22" spans="3:6" x14ac:dyDescent="0.25">
      <c r="C22" t="s">
        <v>91</v>
      </c>
      <c r="D22" t="s">
        <v>92</v>
      </c>
      <c r="E22" t="s">
        <v>93</v>
      </c>
      <c r="F22" t="s">
        <v>94</v>
      </c>
    </row>
  </sheetData>
  <mergeCells count="7">
    <mergeCell ref="G8:I8"/>
    <mergeCell ref="G7:I7"/>
    <mergeCell ref="G13:I13"/>
    <mergeCell ref="G11:I11"/>
    <mergeCell ref="G12:I12"/>
    <mergeCell ref="G10:I10"/>
    <mergeCell ref="G9:I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476C0-34FE-48AB-919B-5DFA9D0189FD}">
  <dimension ref="B2:P18"/>
  <sheetViews>
    <sheetView zoomScale="80" zoomScaleNormal="80" workbookViewId="0">
      <selection activeCell="J21" sqref="J21"/>
    </sheetView>
  </sheetViews>
  <sheetFormatPr defaultRowHeight="15" x14ac:dyDescent="0.25"/>
  <cols>
    <col min="1" max="1" width="8.28515625" customWidth="1"/>
    <col min="2" max="2" width="11.85546875" customWidth="1"/>
    <col min="3" max="3" width="11.140625" customWidth="1"/>
    <col min="4" max="4" width="9.5703125" style="35" customWidth="1"/>
    <col min="5" max="5" width="10.42578125" customWidth="1"/>
    <col min="6" max="6" width="8.5703125" style="36" customWidth="1"/>
    <col min="7" max="7" width="9.85546875" customWidth="1"/>
    <col min="8" max="8" width="14.28515625" customWidth="1"/>
    <col min="9" max="9" width="6.7109375" customWidth="1"/>
    <col min="10" max="10" width="6" customWidth="1"/>
    <col min="11" max="11" width="7.140625" customWidth="1"/>
    <col min="14" max="14" width="11.140625" customWidth="1"/>
  </cols>
  <sheetData>
    <row r="2" spans="2:16" x14ac:dyDescent="0.25">
      <c r="C2" s="68" t="s">
        <v>114</v>
      </c>
      <c r="D2" s="68"/>
      <c r="E2" s="68"/>
      <c r="F2" s="68"/>
      <c r="G2" s="68"/>
    </row>
    <row r="3" spans="2:16" x14ac:dyDescent="0.25">
      <c r="C3" s="68"/>
      <c r="D3" s="68"/>
      <c r="E3" s="68"/>
      <c r="F3" s="68"/>
      <c r="G3" s="68"/>
      <c r="H3" s="37" t="s">
        <v>115</v>
      </c>
    </row>
    <row r="5" spans="2:16" ht="15.75" x14ac:dyDescent="0.25">
      <c r="B5" s="33" t="s">
        <v>96</v>
      </c>
      <c r="C5" s="33" t="s">
        <v>97</v>
      </c>
      <c r="D5" s="34" t="s">
        <v>44</v>
      </c>
      <c r="E5" s="33" t="s">
        <v>72</v>
      </c>
      <c r="F5" s="70" t="s">
        <v>98</v>
      </c>
      <c r="G5" s="70"/>
      <c r="H5" s="33" t="s">
        <v>101</v>
      </c>
    </row>
    <row r="6" spans="2:16" x14ac:dyDescent="0.25">
      <c r="F6" s="4" t="s">
        <v>99</v>
      </c>
      <c r="G6" s="4" t="s">
        <v>100</v>
      </c>
      <c r="L6" s="69" t="s">
        <v>102</v>
      </c>
      <c r="M6" s="69"/>
      <c r="N6" s="69"/>
      <c r="O6" s="36"/>
      <c r="P6">
        <f>SUM(E8:E18)</f>
        <v>47327.5</v>
      </c>
    </row>
    <row r="7" spans="2:16" x14ac:dyDescent="0.25">
      <c r="L7" s="69" t="s">
        <v>103</v>
      </c>
      <c r="M7" s="69"/>
      <c r="N7" s="69"/>
      <c r="O7" s="36"/>
      <c r="P7">
        <f>MAX(E8:E17)</f>
        <v>8100</v>
      </c>
    </row>
    <row r="8" spans="2:16" x14ac:dyDescent="0.25">
      <c r="B8">
        <v>100</v>
      </c>
      <c r="C8">
        <v>1000</v>
      </c>
      <c r="D8" s="35">
        <v>5.5</v>
      </c>
      <c r="E8">
        <f>D8*C8</f>
        <v>5500</v>
      </c>
      <c r="F8" s="36" t="str">
        <f>IF(E8&lt;1000,"0",IF(E8&lt;5000,"2%",IF(E8&gt;=5000,"5%")))</f>
        <v>5%</v>
      </c>
      <c r="G8">
        <f>E8*F8</f>
        <v>275</v>
      </c>
      <c r="H8" s="4" t="str">
        <f>IF(E8&lt;1000,"POOR",IF(E8&lt;4000,"GOOD",IF(E8&gt;=4000,"EXCELLENT")))</f>
        <v>EXCELLENT</v>
      </c>
      <c r="L8" s="69" t="s">
        <v>104</v>
      </c>
      <c r="M8" s="69"/>
      <c r="N8" s="69"/>
      <c r="O8" s="36"/>
      <c r="P8">
        <f>MIN(E8:E18)</f>
        <v>290</v>
      </c>
    </row>
    <row r="9" spans="2:16" x14ac:dyDescent="0.25">
      <c r="B9">
        <v>101</v>
      </c>
      <c r="C9">
        <v>1200</v>
      </c>
      <c r="D9" s="35">
        <v>6.75</v>
      </c>
      <c r="E9">
        <f t="shared" ref="E9:E18" si="0">D9*C9</f>
        <v>8100</v>
      </c>
      <c r="F9" s="36" t="str">
        <f t="shared" ref="F9:F18" si="1">IF(E9&lt;1000,"0",IF(E9&lt;5000,"2%",IF(E9&gt;=5000,"5%")))</f>
        <v>5%</v>
      </c>
      <c r="G9">
        <f t="shared" ref="G9:G18" si="2">E9*F9</f>
        <v>405</v>
      </c>
      <c r="H9" s="4" t="str">
        <f t="shared" ref="H9:H18" si="3">IF(E9&lt;1000,"POOR",IF(E9&lt;4000,"GOOD",IF(E9&gt;=4000,"EXCELLENT")))</f>
        <v>EXCELLENT</v>
      </c>
      <c r="L9" s="69" t="s">
        <v>105</v>
      </c>
      <c r="M9" s="69"/>
      <c r="N9" s="69"/>
      <c r="O9" s="36"/>
      <c r="P9">
        <f>AVERAGE(E8:E18)</f>
        <v>4302.5</v>
      </c>
    </row>
    <row r="10" spans="2:16" x14ac:dyDescent="0.25">
      <c r="B10">
        <v>102</v>
      </c>
      <c r="C10">
        <v>1300</v>
      </c>
      <c r="D10" s="35">
        <v>2</v>
      </c>
      <c r="E10">
        <f t="shared" si="0"/>
        <v>2600</v>
      </c>
      <c r="F10" s="36" t="str">
        <f t="shared" si="1"/>
        <v>2%</v>
      </c>
      <c r="G10">
        <f t="shared" si="2"/>
        <v>52</v>
      </c>
      <c r="H10" s="4" t="str">
        <f t="shared" si="3"/>
        <v>GOOD</v>
      </c>
      <c r="L10" s="69" t="s">
        <v>109</v>
      </c>
      <c r="M10" s="69"/>
      <c r="N10" s="69"/>
      <c r="O10" s="36"/>
      <c r="P10" s="35">
        <f>AVERAGE(D8:D18)</f>
        <v>3.3181818181818183</v>
      </c>
    </row>
    <row r="11" spans="2:16" x14ac:dyDescent="0.25">
      <c r="B11">
        <v>103</v>
      </c>
      <c r="C11">
        <v>800</v>
      </c>
      <c r="D11" s="35">
        <v>4</v>
      </c>
      <c r="E11">
        <f t="shared" si="0"/>
        <v>3200</v>
      </c>
      <c r="F11" s="36" t="str">
        <f t="shared" si="1"/>
        <v>2%</v>
      </c>
      <c r="G11">
        <f t="shared" si="2"/>
        <v>64</v>
      </c>
      <c r="H11" s="4" t="str">
        <f t="shared" si="3"/>
        <v>GOOD</v>
      </c>
      <c r="L11" s="69" t="s">
        <v>106</v>
      </c>
      <c r="M11" s="69"/>
      <c r="N11" s="69"/>
      <c r="O11" s="36"/>
      <c r="P11">
        <f>COUNTIF(H8:H18,"EXCELLENT")</f>
        <v>6</v>
      </c>
    </row>
    <row r="12" spans="2:16" x14ac:dyDescent="0.25">
      <c r="B12">
        <v>104</v>
      </c>
      <c r="C12">
        <v>1200</v>
      </c>
      <c r="D12" s="35">
        <v>5</v>
      </c>
      <c r="E12">
        <f t="shared" si="0"/>
        <v>6000</v>
      </c>
      <c r="F12" s="36" t="str">
        <f t="shared" si="1"/>
        <v>5%</v>
      </c>
      <c r="G12">
        <f t="shared" si="2"/>
        <v>300</v>
      </c>
      <c r="H12" s="4" t="str">
        <f t="shared" si="3"/>
        <v>EXCELLENT</v>
      </c>
      <c r="L12" s="69" t="s">
        <v>107</v>
      </c>
      <c r="M12" s="69"/>
      <c r="N12" s="69"/>
      <c r="O12" s="36"/>
      <c r="P12">
        <f>COUNTIF(H8:H18,"GOOD")</f>
        <v>3</v>
      </c>
    </row>
    <row r="13" spans="2:16" x14ac:dyDescent="0.25">
      <c r="B13">
        <v>105</v>
      </c>
      <c r="C13">
        <v>1800</v>
      </c>
      <c r="D13" s="35">
        <v>0.5</v>
      </c>
      <c r="E13">
        <f t="shared" si="0"/>
        <v>900</v>
      </c>
      <c r="F13" s="36" t="str">
        <f t="shared" si="1"/>
        <v>0</v>
      </c>
      <c r="G13">
        <f t="shared" si="2"/>
        <v>0</v>
      </c>
      <c r="H13" s="4" t="str">
        <f t="shared" si="3"/>
        <v>POOR</v>
      </c>
      <c r="L13" s="69" t="s">
        <v>108</v>
      </c>
      <c r="M13" s="69"/>
      <c r="N13" s="69"/>
      <c r="O13" s="36"/>
      <c r="P13">
        <f>COUNTIF(H8:H18,"POOR")</f>
        <v>2</v>
      </c>
    </row>
    <row r="14" spans="2:16" x14ac:dyDescent="0.25">
      <c r="B14">
        <v>106</v>
      </c>
      <c r="C14">
        <v>145</v>
      </c>
      <c r="D14" s="35">
        <v>2</v>
      </c>
      <c r="E14">
        <f t="shared" si="0"/>
        <v>290</v>
      </c>
      <c r="F14" s="36" t="str">
        <f t="shared" si="1"/>
        <v>0</v>
      </c>
      <c r="G14">
        <f t="shared" si="2"/>
        <v>0</v>
      </c>
      <c r="H14" s="4" t="str">
        <f t="shared" si="3"/>
        <v>POOR</v>
      </c>
      <c r="L14" s="69" t="s">
        <v>110</v>
      </c>
      <c r="M14" s="69"/>
      <c r="N14" s="69"/>
      <c r="O14" s="36"/>
      <c r="P14">
        <f>COUNTIF(D8:D18,"&gt;3")</f>
        <v>5</v>
      </c>
    </row>
    <row r="15" spans="2:16" x14ac:dyDescent="0.25">
      <c r="B15">
        <v>107</v>
      </c>
      <c r="C15">
        <v>1900</v>
      </c>
      <c r="D15" s="35">
        <v>3.5</v>
      </c>
      <c r="E15">
        <f t="shared" si="0"/>
        <v>6650</v>
      </c>
      <c r="F15" s="36" t="str">
        <f t="shared" si="1"/>
        <v>5%</v>
      </c>
      <c r="G15">
        <f t="shared" si="2"/>
        <v>332.5</v>
      </c>
      <c r="H15" s="4" t="str">
        <f t="shared" si="3"/>
        <v>EXCELLENT</v>
      </c>
      <c r="L15" s="69" t="s">
        <v>116</v>
      </c>
      <c r="M15" s="69"/>
      <c r="N15" s="69"/>
      <c r="O15" s="36"/>
      <c r="P15">
        <f>COUNTIF(C8:C18,"&gt;1500")</f>
        <v>5</v>
      </c>
    </row>
    <row r="16" spans="2:16" x14ac:dyDescent="0.25">
      <c r="B16">
        <v>108</v>
      </c>
      <c r="C16">
        <v>1550</v>
      </c>
      <c r="D16" s="35">
        <v>2.25</v>
      </c>
      <c r="E16">
        <f t="shared" si="0"/>
        <v>3487.5</v>
      </c>
      <c r="F16" s="36" t="str">
        <f t="shared" si="1"/>
        <v>2%</v>
      </c>
      <c r="G16">
        <f t="shared" si="2"/>
        <v>69.75</v>
      </c>
      <c r="H16" s="4" t="str">
        <f t="shared" si="3"/>
        <v>GOOD</v>
      </c>
      <c r="L16" s="69" t="s">
        <v>111</v>
      </c>
      <c r="M16" s="69"/>
      <c r="N16" s="69"/>
      <c r="P16">
        <f>SUMIF(H8:H18,"EXCELLENT",G8:G18)</f>
        <v>1722.5</v>
      </c>
    </row>
    <row r="17" spans="2:16" x14ac:dyDescent="0.25">
      <c r="B17">
        <v>109</v>
      </c>
      <c r="C17">
        <v>2000</v>
      </c>
      <c r="D17" s="35">
        <v>2</v>
      </c>
      <c r="E17">
        <f t="shared" si="0"/>
        <v>4000</v>
      </c>
      <c r="F17" s="36" t="str">
        <f t="shared" si="1"/>
        <v>2%</v>
      </c>
      <c r="G17">
        <f t="shared" si="2"/>
        <v>80</v>
      </c>
      <c r="H17" s="4" t="str">
        <f t="shared" si="3"/>
        <v>EXCELLENT</v>
      </c>
      <c r="L17" s="69" t="s">
        <v>112</v>
      </c>
      <c r="M17" s="69"/>
      <c r="N17" s="69"/>
      <c r="P17">
        <f>SUMIF(H8:H18,"GOOD",G8:G18)</f>
        <v>185.75</v>
      </c>
    </row>
    <row r="18" spans="2:16" x14ac:dyDescent="0.25">
      <c r="B18">
        <v>110</v>
      </c>
      <c r="C18">
        <v>2200</v>
      </c>
      <c r="D18" s="35">
        <v>3</v>
      </c>
      <c r="E18">
        <f t="shared" si="0"/>
        <v>6600</v>
      </c>
      <c r="F18" s="36" t="str">
        <f t="shared" si="1"/>
        <v>5%</v>
      </c>
      <c r="G18">
        <f t="shared" si="2"/>
        <v>330</v>
      </c>
      <c r="H18" s="4" t="str">
        <f t="shared" si="3"/>
        <v>EXCELLENT</v>
      </c>
      <c r="L18" s="69" t="s">
        <v>113</v>
      </c>
      <c r="M18" s="69"/>
      <c r="N18" s="69"/>
      <c r="P18">
        <f>SUM(C8:C18)</f>
        <v>15095</v>
      </c>
    </row>
  </sheetData>
  <mergeCells count="15">
    <mergeCell ref="L17:N17"/>
    <mergeCell ref="L18:N18"/>
    <mergeCell ref="L6:N6"/>
    <mergeCell ref="L7:N7"/>
    <mergeCell ref="L8:N8"/>
    <mergeCell ref="L9:N9"/>
    <mergeCell ref="L10:N10"/>
    <mergeCell ref="L11:N11"/>
    <mergeCell ref="L12:N12"/>
    <mergeCell ref="C2:G3"/>
    <mergeCell ref="L13:N13"/>
    <mergeCell ref="L14:N14"/>
    <mergeCell ref="L15:N15"/>
    <mergeCell ref="L16:N16"/>
    <mergeCell ref="F5:G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4A89-1222-42C8-AD6C-20F2940CC5B9}">
  <dimension ref="B2:J17"/>
  <sheetViews>
    <sheetView workbookViewId="0">
      <selection activeCell="C17" sqref="C17"/>
    </sheetView>
  </sheetViews>
  <sheetFormatPr defaultRowHeight="15" x14ac:dyDescent="0.25"/>
  <cols>
    <col min="1" max="1" width="8.85546875" customWidth="1"/>
    <col min="2" max="2" width="7.42578125" customWidth="1"/>
    <col min="3" max="3" width="9.85546875" customWidth="1"/>
    <col min="4" max="4" width="8.140625" customWidth="1"/>
    <col min="5" max="5" width="17" customWidth="1"/>
    <col min="6" max="6" width="10" style="35" customWidth="1"/>
    <col min="7" max="7" width="7.140625" customWidth="1"/>
    <col min="8" max="8" width="7.85546875" customWidth="1"/>
    <col min="9" max="9" width="10.42578125" customWidth="1"/>
    <col min="10" max="10" width="10.85546875" customWidth="1"/>
  </cols>
  <sheetData>
    <row r="2" spans="2:10" ht="15.75" x14ac:dyDescent="0.25">
      <c r="E2" s="71" t="s">
        <v>267</v>
      </c>
      <c r="F2" s="71"/>
    </row>
    <row r="4" spans="2:10" ht="15.75" x14ac:dyDescent="0.25">
      <c r="B4" s="33" t="s">
        <v>0</v>
      </c>
      <c r="C4" s="33" t="s">
        <v>117</v>
      </c>
      <c r="D4" s="33" t="s">
        <v>118</v>
      </c>
      <c r="E4" s="33" t="s">
        <v>119</v>
      </c>
      <c r="F4" s="34" t="s">
        <v>120</v>
      </c>
      <c r="G4" s="33" t="s">
        <v>121</v>
      </c>
      <c r="H4" s="33" t="s">
        <v>122</v>
      </c>
      <c r="I4" s="33" t="s">
        <v>123</v>
      </c>
      <c r="J4" s="33" t="s">
        <v>101</v>
      </c>
    </row>
    <row r="5" spans="2:10" x14ac:dyDescent="0.25">
      <c r="G5" s="38"/>
    </row>
    <row r="6" spans="2:10" x14ac:dyDescent="0.25">
      <c r="B6">
        <v>1</v>
      </c>
      <c r="C6" s="39">
        <v>38412</v>
      </c>
      <c r="D6" t="s">
        <v>124</v>
      </c>
      <c r="E6" t="s">
        <v>131</v>
      </c>
      <c r="F6" s="35">
        <v>5600</v>
      </c>
      <c r="G6">
        <f>F6*12%</f>
        <v>672</v>
      </c>
      <c r="H6">
        <f>F6*5%</f>
        <v>280</v>
      </c>
      <c r="I6">
        <f>SUM(F6:H6)</f>
        <v>6552</v>
      </c>
      <c r="J6" s="4" t="str">
        <f>IF(I6&gt;=5000,"EXCELLENT","GOOD")</f>
        <v>EXCELLENT</v>
      </c>
    </row>
    <row r="7" spans="2:10" x14ac:dyDescent="0.25">
      <c r="B7">
        <v>2</v>
      </c>
      <c r="C7" s="39">
        <v>38413</v>
      </c>
      <c r="D7" t="s">
        <v>125</v>
      </c>
      <c r="E7" t="s">
        <v>132</v>
      </c>
      <c r="F7" s="35">
        <v>2500</v>
      </c>
      <c r="G7">
        <f t="shared" ref="G7:G12" si="0">F7*12%</f>
        <v>300</v>
      </c>
      <c r="H7">
        <f t="shared" ref="H7:H12" si="1">F7*5%</f>
        <v>125</v>
      </c>
      <c r="I7">
        <f t="shared" ref="I7:I12" si="2">SUM(F7:H7)</f>
        <v>2925</v>
      </c>
      <c r="J7" s="4" t="str">
        <f t="shared" ref="J7:J12" si="3">IF(I7&gt;=5000,"EXCELLENT","GOOD")</f>
        <v>GOOD</v>
      </c>
    </row>
    <row r="8" spans="2:10" x14ac:dyDescent="0.25">
      <c r="B8">
        <v>3</v>
      </c>
      <c r="C8" s="39">
        <v>38414</v>
      </c>
      <c r="D8" t="s">
        <v>126</v>
      </c>
      <c r="E8" t="s">
        <v>133</v>
      </c>
      <c r="F8" s="35">
        <v>3600</v>
      </c>
      <c r="G8">
        <f t="shared" si="0"/>
        <v>432</v>
      </c>
      <c r="H8">
        <f t="shared" si="1"/>
        <v>180</v>
      </c>
      <c r="I8">
        <f t="shared" si="2"/>
        <v>4212</v>
      </c>
      <c r="J8" s="4" t="str">
        <f t="shared" si="3"/>
        <v>GOOD</v>
      </c>
    </row>
    <row r="9" spans="2:10" x14ac:dyDescent="0.25">
      <c r="B9">
        <v>4</v>
      </c>
      <c r="C9" s="39">
        <v>38415</v>
      </c>
      <c r="D9" t="s">
        <v>127</v>
      </c>
      <c r="E9" t="s">
        <v>134</v>
      </c>
      <c r="F9" s="35">
        <v>7500</v>
      </c>
      <c r="G9">
        <f t="shared" si="0"/>
        <v>900</v>
      </c>
      <c r="H9">
        <f t="shared" si="1"/>
        <v>375</v>
      </c>
      <c r="I9">
        <f t="shared" si="2"/>
        <v>8775</v>
      </c>
      <c r="J9" s="4" t="str">
        <f t="shared" si="3"/>
        <v>EXCELLENT</v>
      </c>
    </row>
    <row r="10" spans="2:10" x14ac:dyDescent="0.25">
      <c r="B10">
        <v>5</v>
      </c>
      <c r="C10" s="39">
        <v>38416</v>
      </c>
      <c r="D10" t="s">
        <v>128</v>
      </c>
      <c r="E10" t="s">
        <v>135</v>
      </c>
      <c r="F10" s="35">
        <v>1250</v>
      </c>
      <c r="G10">
        <f t="shared" si="0"/>
        <v>150</v>
      </c>
      <c r="H10">
        <f t="shared" si="1"/>
        <v>62.5</v>
      </c>
      <c r="I10">
        <f t="shared" si="2"/>
        <v>1462.5</v>
      </c>
      <c r="J10" s="4" t="str">
        <f t="shared" si="3"/>
        <v>GOOD</v>
      </c>
    </row>
    <row r="11" spans="2:10" x14ac:dyDescent="0.25">
      <c r="B11">
        <v>6</v>
      </c>
      <c r="C11" s="39">
        <v>38417</v>
      </c>
      <c r="D11" t="s">
        <v>129</v>
      </c>
      <c r="E11" t="s">
        <v>136</v>
      </c>
      <c r="F11" s="35">
        <v>5000</v>
      </c>
      <c r="G11">
        <f t="shared" si="0"/>
        <v>600</v>
      </c>
      <c r="H11">
        <f t="shared" si="1"/>
        <v>250</v>
      </c>
      <c r="I11">
        <f t="shared" si="2"/>
        <v>5850</v>
      </c>
      <c r="J11" s="4" t="str">
        <f t="shared" si="3"/>
        <v>EXCELLENT</v>
      </c>
    </row>
    <row r="12" spans="2:10" x14ac:dyDescent="0.25">
      <c r="B12">
        <v>7</v>
      </c>
      <c r="C12" s="39">
        <v>38418</v>
      </c>
      <c r="D12" t="s">
        <v>130</v>
      </c>
      <c r="E12" t="s">
        <v>137</v>
      </c>
      <c r="F12" s="35">
        <v>7800</v>
      </c>
      <c r="G12">
        <f t="shared" si="0"/>
        <v>936</v>
      </c>
      <c r="H12">
        <f t="shared" si="1"/>
        <v>390</v>
      </c>
      <c r="I12">
        <f t="shared" si="2"/>
        <v>9126</v>
      </c>
      <c r="J12" s="4" t="str">
        <f t="shared" si="3"/>
        <v>EXCELLENT</v>
      </c>
    </row>
    <row r="15" spans="2:10" x14ac:dyDescent="0.25">
      <c r="F15" s="40" t="s">
        <v>138</v>
      </c>
      <c r="G15" s="40"/>
      <c r="H15" s="40"/>
      <c r="I15">
        <f>SUM(I6:I12)</f>
        <v>38902.5</v>
      </c>
    </row>
    <row r="16" spans="2:10" x14ac:dyDescent="0.25">
      <c r="F16" s="40" t="s">
        <v>139</v>
      </c>
      <c r="G16" s="40"/>
      <c r="H16" s="40"/>
      <c r="I16">
        <f>COUNTIF(J6:J12,"EXCELLENT")</f>
        <v>4</v>
      </c>
    </row>
    <row r="17" spans="6:9" x14ac:dyDescent="0.25">
      <c r="F17" s="40" t="s">
        <v>140</v>
      </c>
      <c r="G17" s="40"/>
      <c r="H17" s="40"/>
      <c r="I17">
        <f>COUNTIF(J6:J12,"GOOD")</f>
        <v>3</v>
      </c>
    </row>
  </sheetData>
  <mergeCells count="1">
    <mergeCell ref="E2:F2"/>
  </mergeCells>
  <phoneticPr fontId="1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943D6-656E-4985-920D-82A7473840ED}">
  <dimension ref="B4:E15"/>
  <sheetViews>
    <sheetView zoomScale="90" zoomScaleNormal="90" workbookViewId="0">
      <selection activeCell="E18" sqref="E18"/>
    </sheetView>
  </sheetViews>
  <sheetFormatPr defaultRowHeight="15" x14ac:dyDescent="0.25"/>
  <cols>
    <col min="1" max="1" width="10.140625" customWidth="1"/>
    <col min="2" max="2" width="7.7109375" customWidth="1"/>
    <col min="3" max="3" width="9.42578125" customWidth="1"/>
    <col min="4" max="4" width="13.85546875" customWidth="1"/>
    <col min="5" max="5" width="14" customWidth="1"/>
  </cols>
  <sheetData>
    <row r="4" spans="2:5" ht="32.25" x14ac:dyDescent="0.25">
      <c r="B4" s="33" t="s">
        <v>0</v>
      </c>
      <c r="C4" s="43" t="s">
        <v>141</v>
      </c>
      <c r="D4" s="44" t="s">
        <v>142</v>
      </c>
      <c r="E4" s="46" t="s">
        <v>143</v>
      </c>
    </row>
    <row r="6" spans="2:5" ht="33" x14ac:dyDescent="0.25">
      <c r="B6">
        <v>1</v>
      </c>
      <c r="C6" s="41" t="s">
        <v>154</v>
      </c>
      <c r="D6" s="42" t="s">
        <v>147</v>
      </c>
      <c r="E6" s="45" t="s">
        <v>151</v>
      </c>
    </row>
    <row r="7" spans="2:5" ht="32.25" x14ac:dyDescent="0.25">
      <c r="B7">
        <v>2</v>
      </c>
      <c r="C7" s="41" t="s">
        <v>144</v>
      </c>
      <c r="D7" s="42" t="s">
        <v>148</v>
      </c>
      <c r="E7" s="45" t="s">
        <v>152</v>
      </c>
    </row>
    <row r="8" spans="2:5" ht="36" x14ac:dyDescent="0.25">
      <c r="B8">
        <v>3</v>
      </c>
      <c r="C8" s="41" t="s">
        <v>145</v>
      </c>
      <c r="D8" s="42" t="s">
        <v>149</v>
      </c>
      <c r="E8" s="45" t="s">
        <v>153</v>
      </c>
    </row>
    <row r="9" spans="2:5" ht="31.5" x14ac:dyDescent="0.25">
      <c r="B9">
        <v>4</v>
      </c>
      <c r="C9" s="41" t="s">
        <v>146</v>
      </c>
      <c r="D9" s="42" t="s">
        <v>150</v>
      </c>
      <c r="E9" s="45" t="s">
        <v>155</v>
      </c>
    </row>
    <row r="11" spans="2:5" x14ac:dyDescent="0.25">
      <c r="C11" t="s">
        <v>156</v>
      </c>
      <c r="D11" t="s">
        <v>159</v>
      </c>
      <c r="E11" t="s">
        <v>159</v>
      </c>
    </row>
    <row r="12" spans="2:5" x14ac:dyDescent="0.25">
      <c r="C12" t="s">
        <v>166</v>
      </c>
      <c r="D12" t="s">
        <v>165</v>
      </c>
      <c r="E12" t="s">
        <v>164</v>
      </c>
    </row>
    <row r="13" spans="2:5" x14ac:dyDescent="0.25">
      <c r="C13" t="s">
        <v>157</v>
      </c>
      <c r="D13" t="s">
        <v>161</v>
      </c>
      <c r="E13" t="s">
        <v>167</v>
      </c>
    </row>
    <row r="14" spans="2:5" x14ac:dyDescent="0.25">
      <c r="C14" t="s">
        <v>158</v>
      </c>
      <c r="D14" t="s">
        <v>162</v>
      </c>
      <c r="E14" t="s">
        <v>169</v>
      </c>
    </row>
    <row r="15" spans="2:5" x14ac:dyDescent="0.25">
      <c r="C15" t="s">
        <v>160</v>
      </c>
      <c r="D15" t="s">
        <v>163</v>
      </c>
      <c r="E15" t="s">
        <v>168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9D8B7-8E4E-4EED-A511-9DF5C7995765}">
  <dimension ref="B3:Q20"/>
  <sheetViews>
    <sheetView zoomScale="80" zoomScaleNormal="80" workbookViewId="0">
      <selection activeCell="N20" sqref="N20"/>
    </sheetView>
  </sheetViews>
  <sheetFormatPr defaultRowHeight="15" x14ac:dyDescent="0.25"/>
  <cols>
    <col min="3" max="3" width="9.7109375" customWidth="1"/>
    <col min="4" max="4" width="7.140625" customWidth="1"/>
    <col min="5" max="5" width="7" customWidth="1"/>
    <col min="6" max="6" width="11.42578125" customWidth="1"/>
    <col min="7" max="8" width="8.5703125" customWidth="1"/>
    <col min="9" max="9" width="14.85546875" customWidth="1"/>
    <col min="10" max="10" width="9.7109375" customWidth="1"/>
    <col min="11" max="11" width="8.140625" customWidth="1"/>
    <col min="12" max="12" width="8" customWidth="1"/>
    <col min="13" max="13" width="8.7109375" customWidth="1"/>
    <col min="16" max="16" width="10.7109375" customWidth="1"/>
    <col min="17" max="17" width="11.42578125" customWidth="1"/>
  </cols>
  <sheetData>
    <row r="3" spans="2:17" ht="15.75" x14ac:dyDescent="0.25">
      <c r="B3" s="33" t="s">
        <v>0</v>
      </c>
      <c r="C3" s="33" t="s">
        <v>1</v>
      </c>
      <c r="D3" s="33" t="s">
        <v>170</v>
      </c>
      <c r="E3" s="33" t="s">
        <v>171</v>
      </c>
      <c r="F3" s="33" t="s">
        <v>172</v>
      </c>
      <c r="G3" s="33" t="s">
        <v>173</v>
      </c>
      <c r="H3" s="33" t="s">
        <v>174</v>
      </c>
      <c r="I3" s="33" t="s">
        <v>175</v>
      </c>
      <c r="J3" s="33" t="s">
        <v>176</v>
      </c>
      <c r="K3" s="33" t="s">
        <v>177</v>
      </c>
      <c r="L3" s="70" t="s">
        <v>178</v>
      </c>
      <c r="M3" s="70"/>
      <c r="N3" s="70" t="s">
        <v>179</v>
      </c>
      <c r="O3" s="70"/>
      <c r="P3" s="33" t="s">
        <v>180</v>
      </c>
      <c r="Q3" s="33" t="s">
        <v>181</v>
      </c>
    </row>
    <row r="4" spans="2:17" x14ac:dyDescent="0.25">
      <c r="L4" s="4" t="s">
        <v>99</v>
      </c>
      <c r="M4" s="4" t="s">
        <v>205</v>
      </c>
      <c r="N4" s="4" t="s">
        <v>99</v>
      </c>
      <c r="O4" s="4" t="s">
        <v>205</v>
      </c>
    </row>
    <row r="5" spans="2:17" x14ac:dyDescent="0.25">
      <c r="B5">
        <v>1</v>
      </c>
      <c r="C5" t="s">
        <v>182</v>
      </c>
      <c r="D5">
        <v>27</v>
      </c>
      <c r="E5" t="s">
        <v>192</v>
      </c>
      <c r="F5" t="s">
        <v>194</v>
      </c>
      <c r="G5" s="36" t="s">
        <v>198</v>
      </c>
      <c r="H5">
        <v>65</v>
      </c>
      <c r="I5" s="39">
        <v>34003</v>
      </c>
      <c r="J5">
        <v>4000</v>
      </c>
      <c r="K5" s="36" t="str">
        <f>IF(J5:J14&gt;=4000,"1500",IF(J5:J14&lt;4000,"800"))</f>
        <v>1500</v>
      </c>
      <c r="L5" s="36" t="str">
        <f>IF(J5:J14&gt;=4000,"4%",IF(J5:J14&lt;4000,"1.5%"))</f>
        <v>4%</v>
      </c>
      <c r="M5" s="36">
        <f>J5*L5</f>
        <v>160</v>
      </c>
      <c r="N5" s="36" t="str">
        <f>IF(J5:J14&gt;=4000,"12%","0")</f>
        <v>12%</v>
      </c>
      <c r="O5">
        <f>J5:J14*N5:N14</f>
        <v>480</v>
      </c>
      <c r="P5">
        <f t="shared" ref="P5:P14" si="0">J5:J14+K5:K14+M5:M14-O5:O14</f>
        <v>5180</v>
      </c>
      <c r="Q5">
        <f>2024-1993</f>
        <v>31</v>
      </c>
    </row>
    <row r="6" spans="2:17" x14ac:dyDescent="0.25">
      <c r="B6">
        <v>2</v>
      </c>
      <c r="C6" t="s">
        <v>183</v>
      </c>
      <c r="D6">
        <v>36</v>
      </c>
      <c r="E6" t="s">
        <v>192</v>
      </c>
      <c r="F6" t="s">
        <v>195</v>
      </c>
      <c r="G6" s="36" t="s">
        <v>199</v>
      </c>
      <c r="H6">
        <v>78</v>
      </c>
      <c r="I6" s="39">
        <v>33486</v>
      </c>
      <c r="J6">
        <v>4560</v>
      </c>
      <c r="K6" s="36" t="str">
        <f t="shared" ref="K6:K14" si="1">IF(J6:J15&gt;=4000,"1500",IF(J6:J15&lt;4000,"800"))</f>
        <v>1500</v>
      </c>
      <c r="L6" s="36" t="str">
        <f t="shared" ref="L6:L14" si="2">IF(J6:J15&gt;=4000,"4%",IF(J6:J15&lt;4000,"1.5%"))</f>
        <v>4%</v>
      </c>
      <c r="M6" s="36">
        <f t="shared" ref="M6:M14" si="3">J6*L6</f>
        <v>182.4</v>
      </c>
      <c r="N6" s="36" t="str">
        <f t="shared" ref="N6:N14" si="4">IF(J6:J15&gt;=4000,"12%","0")</f>
        <v>12%</v>
      </c>
      <c r="O6">
        <f t="shared" ref="O6:O14" si="5">J6:J15*N6:N15</f>
        <v>547.19999999999993</v>
      </c>
      <c r="P6">
        <f t="shared" si="0"/>
        <v>5695.2</v>
      </c>
      <c r="Q6">
        <f>2024-1991</f>
        <v>33</v>
      </c>
    </row>
    <row r="7" spans="2:17" x14ac:dyDescent="0.25">
      <c r="B7">
        <v>3</v>
      </c>
      <c r="C7" t="s">
        <v>184</v>
      </c>
      <c r="D7">
        <v>30</v>
      </c>
      <c r="E7" t="s">
        <v>193</v>
      </c>
      <c r="F7" t="s">
        <v>196</v>
      </c>
      <c r="G7" s="36" t="s">
        <v>199</v>
      </c>
      <c r="H7">
        <v>55</v>
      </c>
      <c r="I7" s="39">
        <v>33668</v>
      </c>
      <c r="J7">
        <v>12000</v>
      </c>
      <c r="K7" s="36" t="str">
        <f t="shared" si="1"/>
        <v>1500</v>
      </c>
      <c r="L7" s="36" t="str">
        <f t="shared" si="2"/>
        <v>4%</v>
      </c>
      <c r="M7" s="36">
        <f t="shared" si="3"/>
        <v>480</v>
      </c>
      <c r="N7" s="36" t="str">
        <f t="shared" si="4"/>
        <v>12%</v>
      </c>
      <c r="O7">
        <f t="shared" si="5"/>
        <v>1440</v>
      </c>
      <c r="P7">
        <f t="shared" si="0"/>
        <v>12540</v>
      </c>
      <c r="Q7">
        <f>2024-1992</f>
        <v>32</v>
      </c>
    </row>
    <row r="8" spans="2:17" x14ac:dyDescent="0.25">
      <c r="B8">
        <v>4</v>
      </c>
      <c r="C8" t="s">
        <v>185</v>
      </c>
      <c r="D8">
        <v>28</v>
      </c>
      <c r="E8" t="s">
        <v>193</v>
      </c>
      <c r="F8" t="s">
        <v>197</v>
      </c>
      <c r="G8" s="36" t="s">
        <v>200</v>
      </c>
      <c r="H8">
        <v>70</v>
      </c>
      <c r="I8" s="39">
        <v>33646</v>
      </c>
      <c r="J8">
        <v>3450</v>
      </c>
      <c r="K8" s="36" t="str">
        <f t="shared" si="1"/>
        <v>800</v>
      </c>
      <c r="L8" s="36" t="str">
        <f t="shared" si="2"/>
        <v>1.5%</v>
      </c>
      <c r="M8" s="36">
        <f t="shared" si="3"/>
        <v>51.75</v>
      </c>
      <c r="N8" s="36" t="str">
        <f t="shared" si="4"/>
        <v>0</v>
      </c>
      <c r="O8">
        <f t="shared" si="5"/>
        <v>0</v>
      </c>
      <c r="P8">
        <f t="shared" si="0"/>
        <v>4301.75</v>
      </c>
      <c r="Q8">
        <f>2024-1992</f>
        <v>32</v>
      </c>
    </row>
    <row r="9" spans="2:17" x14ac:dyDescent="0.25">
      <c r="B9">
        <v>5</v>
      </c>
      <c r="C9" t="s">
        <v>186</v>
      </c>
      <c r="D9">
        <v>58</v>
      </c>
      <c r="E9" t="s">
        <v>192</v>
      </c>
      <c r="F9" t="s">
        <v>195</v>
      </c>
      <c r="G9" s="36" t="s">
        <v>204</v>
      </c>
      <c r="H9">
        <v>80</v>
      </c>
      <c r="I9" s="39">
        <v>35783</v>
      </c>
      <c r="J9">
        <v>5678</v>
      </c>
      <c r="K9" s="36" t="str">
        <f t="shared" si="1"/>
        <v>1500</v>
      </c>
      <c r="L9" s="36" t="str">
        <f t="shared" si="2"/>
        <v>4%</v>
      </c>
      <c r="M9" s="36">
        <f t="shared" si="3"/>
        <v>227.12</v>
      </c>
      <c r="N9" s="36" t="str">
        <f t="shared" si="4"/>
        <v>12%</v>
      </c>
      <c r="O9">
        <f t="shared" si="5"/>
        <v>681.36</v>
      </c>
      <c r="P9">
        <f t="shared" si="0"/>
        <v>6723.76</v>
      </c>
      <c r="Q9">
        <f>2024-1997</f>
        <v>27</v>
      </c>
    </row>
    <row r="10" spans="2:17" x14ac:dyDescent="0.25">
      <c r="B10">
        <v>6</v>
      </c>
      <c r="C10" t="s">
        <v>191</v>
      </c>
      <c r="D10">
        <v>23</v>
      </c>
      <c r="E10" t="s">
        <v>193</v>
      </c>
      <c r="F10" t="s">
        <v>197</v>
      </c>
      <c r="G10" s="36" t="s">
        <v>200</v>
      </c>
      <c r="H10">
        <v>63</v>
      </c>
      <c r="I10" s="39">
        <v>35837</v>
      </c>
      <c r="J10">
        <v>4329</v>
      </c>
      <c r="K10" s="36" t="str">
        <f t="shared" si="1"/>
        <v>1500</v>
      </c>
      <c r="L10" s="36" t="str">
        <f t="shared" si="2"/>
        <v>4%</v>
      </c>
      <c r="M10" s="36">
        <f t="shared" si="3"/>
        <v>173.16</v>
      </c>
      <c r="N10" s="36" t="str">
        <f t="shared" si="4"/>
        <v>12%</v>
      </c>
      <c r="O10">
        <f t="shared" si="5"/>
        <v>519.48</v>
      </c>
      <c r="P10">
        <f>J10:J19+K10:K19+M10:M19-O10:O19</f>
        <v>5482.68</v>
      </c>
      <c r="Q10">
        <f>2024-1998</f>
        <v>26</v>
      </c>
    </row>
    <row r="11" spans="2:17" x14ac:dyDescent="0.25">
      <c r="B11">
        <v>7</v>
      </c>
      <c r="C11" t="s">
        <v>187</v>
      </c>
      <c r="D11">
        <v>46</v>
      </c>
      <c r="E11" t="s">
        <v>192</v>
      </c>
      <c r="F11" t="s">
        <v>194</v>
      </c>
      <c r="G11" s="36" t="s">
        <v>201</v>
      </c>
      <c r="H11">
        <v>50</v>
      </c>
      <c r="I11" s="39">
        <v>34000</v>
      </c>
      <c r="J11">
        <v>9800</v>
      </c>
      <c r="K11" s="36" t="str">
        <f t="shared" si="1"/>
        <v>1500</v>
      </c>
      <c r="L11" s="36" t="str">
        <f t="shared" si="2"/>
        <v>4%</v>
      </c>
      <c r="M11" s="36">
        <f t="shared" si="3"/>
        <v>392</v>
      </c>
      <c r="N11" s="36" t="str">
        <f t="shared" si="4"/>
        <v>12%</v>
      </c>
      <c r="O11">
        <f t="shared" si="5"/>
        <v>1176</v>
      </c>
      <c r="P11">
        <f t="shared" si="0"/>
        <v>10516</v>
      </c>
      <c r="Q11">
        <f>2024-1993</f>
        <v>31</v>
      </c>
    </row>
    <row r="12" spans="2:17" x14ac:dyDescent="0.25">
      <c r="B12">
        <v>8</v>
      </c>
      <c r="C12" t="s">
        <v>188</v>
      </c>
      <c r="D12">
        <v>55</v>
      </c>
      <c r="E12" t="s">
        <v>192</v>
      </c>
      <c r="F12" t="s">
        <v>197</v>
      </c>
      <c r="G12" s="36" t="s">
        <v>202</v>
      </c>
      <c r="H12">
        <v>66</v>
      </c>
      <c r="I12" s="39">
        <v>33071</v>
      </c>
      <c r="J12">
        <v>7899</v>
      </c>
      <c r="K12" s="36" t="str">
        <f t="shared" si="1"/>
        <v>1500</v>
      </c>
      <c r="L12" s="36" t="str">
        <f t="shared" si="2"/>
        <v>4%</v>
      </c>
      <c r="M12" s="36">
        <f t="shared" si="3"/>
        <v>315.95999999999998</v>
      </c>
      <c r="N12" s="36" t="str">
        <f t="shared" si="4"/>
        <v>12%</v>
      </c>
      <c r="O12">
        <f t="shared" si="5"/>
        <v>947.88</v>
      </c>
      <c r="P12">
        <f t="shared" si="0"/>
        <v>8767.08</v>
      </c>
      <c r="Q12">
        <f>2024-1990</f>
        <v>34</v>
      </c>
    </row>
    <row r="13" spans="2:17" x14ac:dyDescent="0.25">
      <c r="B13">
        <v>9</v>
      </c>
      <c r="C13" t="s">
        <v>189</v>
      </c>
      <c r="D13">
        <v>27</v>
      </c>
      <c r="E13" t="s">
        <v>193</v>
      </c>
      <c r="F13" t="s">
        <v>195</v>
      </c>
      <c r="G13" s="36" t="s">
        <v>200</v>
      </c>
      <c r="H13">
        <v>58</v>
      </c>
      <c r="I13" s="39">
        <v>34948</v>
      </c>
      <c r="J13">
        <v>5670</v>
      </c>
      <c r="K13" s="36" t="str">
        <f t="shared" si="1"/>
        <v>1500</v>
      </c>
      <c r="L13" s="36" t="str">
        <f t="shared" si="2"/>
        <v>4%</v>
      </c>
      <c r="M13" s="36">
        <f t="shared" si="3"/>
        <v>226.8</v>
      </c>
      <c r="N13" s="36" t="str">
        <f t="shared" si="4"/>
        <v>12%</v>
      </c>
      <c r="O13">
        <f t="shared" si="5"/>
        <v>680.4</v>
      </c>
      <c r="P13">
        <f t="shared" si="0"/>
        <v>6716.4000000000005</v>
      </c>
      <c r="Q13">
        <f>2024-1995</f>
        <v>29</v>
      </c>
    </row>
    <row r="14" spans="2:17" x14ac:dyDescent="0.25">
      <c r="B14">
        <v>10</v>
      </c>
      <c r="C14" t="s">
        <v>190</v>
      </c>
      <c r="D14">
        <v>28</v>
      </c>
      <c r="E14" t="s">
        <v>193</v>
      </c>
      <c r="F14" t="s">
        <v>195</v>
      </c>
      <c r="G14" s="36" t="s">
        <v>203</v>
      </c>
      <c r="H14">
        <v>62</v>
      </c>
      <c r="I14" s="39">
        <v>35036</v>
      </c>
      <c r="J14">
        <v>4560</v>
      </c>
      <c r="K14" s="36" t="str">
        <f t="shared" si="1"/>
        <v>1500</v>
      </c>
      <c r="L14" s="36" t="str">
        <f t="shared" si="2"/>
        <v>4%</v>
      </c>
      <c r="M14" s="36">
        <f t="shared" si="3"/>
        <v>182.4</v>
      </c>
      <c r="N14" s="36" t="str">
        <f t="shared" si="4"/>
        <v>12%</v>
      </c>
      <c r="O14">
        <f t="shared" si="5"/>
        <v>547.19999999999993</v>
      </c>
      <c r="P14">
        <f t="shared" si="0"/>
        <v>5695.2</v>
      </c>
      <c r="Q14">
        <f>2024-1995</f>
        <v>29</v>
      </c>
    </row>
    <row r="16" spans="2:17" x14ac:dyDescent="0.25">
      <c r="L16" s="36"/>
    </row>
    <row r="19" spans="9:12" ht="15.75" x14ac:dyDescent="0.25">
      <c r="I19" s="33" t="s">
        <v>233</v>
      </c>
      <c r="J19" s="72" t="s">
        <v>235</v>
      </c>
      <c r="K19" s="72"/>
      <c r="L19" s="72"/>
    </row>
    <row r="20" spans="9:12" x14ac:dyDescent="0.25">
      <c r="I20" s="4" t="s">
        <v>236</v>
      </c>
      <c r="J20" s="53" t="s">
        <v>234</v>
      </c>
      <c r="K20" s="53"/>
      <c r="L20" s="53"/>
    </row>
  </sheetData>
  <mergeCells count="4">
    <mergeCell ref="L3:M3"/>
    <mergeCell ref="N3:O3"/>
    <mergeCell ref="J20:L20"/>
    <mergeCell ref="J19:L19"/>
  </mergeCells>
  <pageMargins left="0.7" right="0.7" top="0.75" bottom="0.75" header="0.3" footer="0.3"/>
  <ignoredErrors>
    <ignoredError sqref="K6:L6 N6:P6 K7 L7:L8 N7 P7:P9 O7:O9 N8:N9 K9:L9 K8" formulaRange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BCFBA-8ED8-4FC7-A96A-29E056D0F6AF}">
  <dimension ref="B3:K20"/>
  <sheetViews>
    <sheetView zoomScale="90" zoomScaleNormal="90" workbookViewId="0">
      <selection activeCell="J22" sqref="J22"/>
    </sheetView>
  </sheetViews>
  <sheetFormatPr defaultRowHeight="15" x14ac:dyDescent="0.25"/>
  <cols>
    <col min="2" max="2" width="7.140625" customWidth="1"/>
    <col min="3" max="3" width="13.5703125" customWidth="1"/>
    <col min="4" max="4" width="8.5703125" customWidth="1"/>
    <col min="5" max="5" width="10" customWidth="1"/>
    <col min="6" max="6" width="16.42578125" customWidth="1"/>
    <col min="9" max="9" width="15.28515625" bestFit="1" customWidth="1"/>
    <col min="10" max="10" width="13.5703125" bestFit="1" customWidth="1"/>
    <col min="11" max="11" width="11" bestFit="1" customWidth="1"/>
  </cols>
  <sheetData>
    <row r="3" spans="2:11" ht="15.75" x14ac:dyDescent="0.25">
      <c r="B3" s="47" t="s">
        <v>0</v>
      </c>
      <c r="C3" s="47" t="s">
        <v>1</v>
      </c>
      <c r="D3" s="47" t="s">
        <v>170</v>
      </c>
      <c r="E3" s="47" t="s">
        <v>206</v>
      </c>
      <c r="F3" s="47" t="s">
        <v>207</v>
      </c>
      <c r="I3" s="48" t="s">
        <v>221</v>
      </c>
      <c r="J3" t="s">
        <v>220</v>
      </c>
      <c r="K3" t="s">
        <v>223</v>
      </c>
    </row>
    <row r="4" spans="2:11" x14ac:dyDescent="0.25">
      <c r="I4" s="1" t="s">
        <v>208</v>
      </c>
      <c r="J4">
        <v>1</v>
      </c>
      <c r="K4">
        <v>24</v>
      </c>
    </row>
    <row r="5" spans="2:11" x14ac:dyDescent="0.25">
      <c r="B5">
        <v>1</v>
      </c>
      <c r="C5" t="s">
        <v>208</v>
      </c>
      <c r="D5">
        <v>24</v>
      </c>
      <c r="E5" t="s">
        <v>213</v>
      </c>
      <c r="F5" t="s">
        <v>215</v>
      </c>
      <c r="I5" s="49" t="s">
        <v>215</v>
      </c>
      <c r="J5">
        <v>1</v>
      </c>
      <c r="K5">
        <v>24</v>
      </c>
    </row>
    <row r="6" spans="2:11" x14ac:dyDescent="0.25">
      <c r="B6">
        <v>2</v>
      </c>
      <c r="C6" t="s">
        <v>209</v>
      </c>
      <c r="D6">
        <v>23</v>
      </c>
      <c r="E6" t="s">
        <v>214</v>
      </c>
      <c r="F6" t="s">
        <v>216</v>
      </c>
      <c r="I6" s="1" t="s">
        <v>210</v>
      </c>
      <c r="J6">
        <v>4</v>
      </c>
      <c r="K6">
        <v>23</v>
      </c>
    </row>
    <row r="7" spans="2:11" x14ac:dyDescent="0.25">
      <c r="B7">
        <v>3</v>
      </c>
      <c r="C7" t="s">
        <v>15</v>
      </c>
      <c r="D7">
        <v>22</v>
      </c>
      <c r="E7" t="s">
        <v>214</v>
      </c>
      <c r="F7" t="s">
        <v>217</v>
      </c>
      <c r="I7" s="49" t="s">
        <v>216</v>
      </c>
      <c r="J7">
        <v>4</v>
      </c>
      <c r="K7">
        <v>23</v>
      </c>
    </row>
    <row r="8" spans="2:11" x14ac:dyDescent="0.25">
      <c r="B8">
        <v>4</v>
      </c>
      <c r="C8" t="s">
        <v>210</v>
      </c>
      <c r="D8">
        <v>23</v>
      </c>
      <c r="E8" t="s">
        <v>213</v>
      </c>
      <c r="F8" t="s">
        <v>216</v>
      </c>
      <c r="I8" s="1" t="s">
        <v>212</v>
      </c>
      <c r="J8">
        <v>6</v>
      </c>
      <c r="K8">
        <v>25</v>
      </c>
    </row>
    <row r="9" spans="2:11" x14ac:dyDescent="0.25">
      <c r="B9">
        <v>5</v>
      </c>
      <c r="C9" t="s">
        <v>211</v>
      </c>
      <c r="D9">
        <v>21</v>
      </c>
      <c r="E9" t="s">
        <v>213</v>
      </c>
      <c r="F9" t="s">
        <v>215</v>
      </c>
      <c r="I9" s="49" t="s">
        <v>217</v>
      </c>
      <c r="J9">
        <v>6</v>
      </c>
      <c r="K9">
        <v>25</v>
      </c>
    </row>
    <row r="10" spans="2:11" x14ac:dyDescent="0.25">
      <c r="B10">
        <v>6</v>
      </c>
      <c r="C10" t="s">
        <v>212</v>
      </c>
      <c r="D10">
        <v>25</v>
      </c>
      <c r="E10" t="s">
        <v>214</v>
      </c>
      <c r="F10" t="s">
        <v>217</v>
      </c>
      <c r="I10" s="1" t="s">
        <v>218</v>
      </c>
      <c r="J10">
        <v>7</v>
      </c>
      <c r="K10">
        <v>22</v>
      </c>
    </row>
    <row r="11" spans="2:11" x14ac:dyDescent="0.25">
      <c r="B11">
        <v>7</v>
      </c>
      <c r="C11" t="s">
        <v>218</v>
      </c>
      <c r="D11">
        <v>22</v>
      </c>
      <c r="E11" t="s">
        <v>213</v>
      </c>
      <c r="F11" t="s">
        <v>216</v>
      </c>
      <c r="I11" s="49" t="s">
        <v>216</v>
      </c>
      <c r="J11">
        <v>7</v>
      </c>
      <c r="K11">
        <v>22</v>
      </c>
    </row>
    <row r="12" spans="2:11" x14ac:dyDescent="0.25">
      <c r="B12">
        <v>8</v>
      </c>
      <c r="C12" t="s">
        <v>219</v>
      </c>
      <c r="D12">
        <v>21</v>
      </c>
      <c r="E12" t="s">
        <v>214</v>
      </c>
      <c r="F12" t="s">
        <v>217</v>
      </c>
      <c r="I12" s="1" t="s">
        <v>219</v>
      </c>
      <c r="J12">
        <v>8</v>
      </c>
      <c r="K12">
        <v>21</v>
      </c>
    </row>
    <row r="13" spans="2:11" x14ac:dyDescent="0.25">
      <c r="I13" s="49" t="s">
        <v>217</v>
      </c>
      <c r="J13">
        <v>8</v>
      </c>
      <c r="K13">
        <v>21</v>
      </c>
    </row>
    <row r="14" spans="2:11" x14ac:dyDescent="0.25">
      <c r="I14" s="1" t="s">
        <v>209</v>
      </c>
      <c r="J14">
        <v>2</v>
      </c>
      <c r="K14">
        <v>23</v>
      </c>
    </row>
    <row r="15" spans="2:11" x14ac:dyDescent="0.25">
      <c r="I15" s="49" t="s">
        <v>216</v>
      </c>
      <c r="J15">
        <v>2</v>
      </c>
      <c r="K15">
        <v>23</v>
      </c>
    </row>
    <row r="16" spans="2:11" x14ac:dyDescent="0.25">
      <c r="I16" s="1" t="s">
        <v>211</v>
      </c>
      <c r="J16">
        <v>5</v>
      </c>
      <c r="K16">
        <v>21</v>
      </c>
    </row>
    <row r="17" spans="9:11" x14ac:dyDescent="0.25">
      <c r="I17" s="49" t="s">
        <v>215</v>
      </c>
      <c r="J17">
        <v>5</v>
      </c>
      <c r="K17">
        <v>21</v>
      </c>
    </row>
    <row r="18" spans="9:11" x14ac:dyDescent="0.25">
      <c r="I18" s="1" t="s">
        <v>15</v>
      </c>
      <c r="J18">
        <v>3</v>
      </c>
      <c r="K18">
        <v>22</v>
      </c>
    </row>
    <row r="19" spans="9:11" x14ac:dyDescent="0.25">
      <c r="I19" s="49" t="s">
        <v>217</v>
      </c>
      <c r="J19">
        <v>3</v>
      </c>
      <c r="K19">
        <v>22</v>
      </c>
    </row>
    <row r="20" spans="9:11" x14ac:dyDescent="0.25">
      <c r="I20" s="1" t="s">
        <v>222</v>
      </c>
      <c r="J20">
        <v>36</v>
      </c>
      <c r="K20">
        <v>181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Salary Slip</vt:lpstr>
      <vt:lpstr>Profile Sheet</vt:lpstr>
      <vt:lpstr>Bill Slip</vt:lpstr>
      <vt:lpstr>formulas</vt:lpstr>
      <vt:lpstr>commission</vt:lpstr>
      <vt:lpstr>sales statement</vt:lpstr>
      <vt:lpstr>statement</vt:lpstr>
      <vt:lpstr>employees</vt:lpstr>
      <vt:lpstr>pivot</vt:lpstr>
      <vt:lpstr>v&amp;h</vt:lpstr>
      <vt:lpstr>tax</vt:lpstr>
      <vt:lpstr>fee receipt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cp:lastPrinted>2024-08-20T23:42:32Z</cp:lastPrinted>
  <dcterms:created xsi:type="dcterms:W3CDTF">2024-08-09T06:18:05Z</dcterms:created>
  <dcterms:modified xsi:type="dcterms:W3CDTF">2024-08-20T23:43:15Z</dcterms:modified>
</cp:coreProperties>
</file>