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Syntegon\MCDM\"/>
    </mc:Choice>
  </mc:AlternateContent>
  <xr:revisionPtr revIDLastSave="0" documentId="13_ncr:1_{641570B6-8FA8-4070-BC96-73BE334DC7B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ain Sheet" sheetId="3" r:id="rId1"/>
    <sheet name="Normalisation" sheetId="4" r:id="rId2"/>
    <sheet name="Entropy" sheetId="5" r:id="rId3"/>
    <sheet name="WSM" sheetId="6" r:id="rId4"/>
    <sheet name="WPM" sheetId="7" r:id="rId5"/>
    <sheet name="WASPAS" sheetId="8" r:id="rId6"/>
    <sheet name="TOPSIS" sheetId="9" r:id="rId7"/>
    <sheet name="VIKOR" sheetId="10" r:id="rId8"/>
    <sheet name="Average of all Methods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3" l="1"/>
  <c r="K19" i="3"/>
  <c r="K20" i="3"/>
  <c r="K21" i="3"/>
  <c r="K17" i="3"/>
  <c r="K11" i="3"/>
  <c r="K8" i="3"/>
  <c r="K9" i="3"/>
  <c r="K10" i="3"/>
  <c r="K7" i="3"/>
  <c r="B6" i="11"/>
  <c r="B7" i="11"/>
  <c r="B8" i="11"/>
  <c r="B9" i="11"/>
  <c r="B10" i="11"/>
  <c r="B18" i="11"/>
  <c r="B19" i="11"/>
  <c r="B20" i="11"/>
  <c r="B21" i="11"/>
  <c r="B17" i="11"/>
  <c r="E9" i="10"/>
  <c r="E10" i="10"/>
  <c r="E11" i="10"/>
  <c r="E12" i="10"/>
  <c r="D9" i="10"/>
  <c r="D10" i="10"/>
  <c r="D11" i="10"/>
  <c r="D12" i="10"/>
  <c r="C9" i="10"/>
  <c r="C10" i="10"/>
  <c r="C11" i="10"/>
  <c r="C12" i="10"/>
  <c r="C8" i="10"/>
  <c r="D8" i="10"/>
  <c r="E8" i="10"/>
  <c r="B9" i="10"/>
  <c r="J9" i="10" s="1"/>
  <c r="B10" i="10"/>
  <c r="J10" i="10" s="1"/>
  <c r="B11" i="10"/>
  <c r="J24" i="10" s="1"/>
  <c r="B12" i="10"/>
  <c r="J25" i="10" s="1"/>
  <c r="B8" i="10"/>
  <c r="J8" i="10" s="1"/>
  <c r="B4" i="10"/>
  <c r="C4" i="10"/>
  <c r="D4" i="10"/>
  <c r="E4" i="10"/>
  <c r="F4" i="10"/>
  <c r="B5" i="10"/>
  <c r="C3" i="10"/>
  <c r="D3" i="10"/>
  <c r="E3" i="10"/>
  <c r="F3" i="10"/>
  <c r="B3" i="10"/>
  <c r="E9" i="9"/>
  <c r="E10" i="9"/>
  <c r="E11" i="9"/>
  <c r="E12" i="9"/>
  <c r="D9" i="9"/>
  <c r="D10" i="9"/>
  <c r="D11" i="9"/>
  <c r="D12" i="9"/>
  <c r="C9" i="9"/>
  <c r="C10" i="9"/>
  <c r="C11" i="9"/>
  <c r="C12" i="9"/>
  <c r="C8" i="9"/>
  <c r="D8" i="9"/>
  <c r="E8" i="9"/>
  <c r="B9" i="9"/>
  <c r="I8" i="9" s="1"/>
  <c r="B10" i="9"/>
  <c r="I9" i="9" s="1"/>
  <c r="B11" i="9"/>
  <c r="I24" i="9" s="1"/>
  <c r="B12" i="9"/>
  <c r="I11" i="9" s="1"/>
  <c r="B8" i="9"/>
  <c r="I21" i="9" s="1"/>
  <c r="B4" i="9"/>
  <c r="C4" i="9"/>
  <c r="D4" i="9"/>
  <c r="E4" i="9"/>
  <c r="F4" i="9"/>
  <c r="B5" i="9"/>
  <c r="F3" i="9"/>
  <c r="C3" i="9"/>
  <c r="D3" i="9"/>
  <c r="E3" i="9"/>
  <c r="B3" i="9"/>
  <c r="E9" i="8"/>
  <c r="E10" i="8"/>
  <c r="E11" i="8"/>
  <c r="E12" i="8"/>
  <c r="D9" i="8"/>
  <c r="D10" i="8"/>
  <c r="D11" i="8"/>
  <c r="D12" i="8"/>
  <c r="C9" i="8"/>
  <c r="C10" i="8"/>
  <c r="C11" i="8"/>
  <c r="C12" i="8"/>
  <c r="C8" i="8"/>
  <c r="D8" i="8"/>
  <c r="E8" i="8"/>
  <c r="B9" i="8"/>
  <c r="I7" i="8" s="1"/>
  <c r="B10" i="8"/>
  <c r="I8" i="8" s="1"/>
  <c r="B11" i="8"/>
  <c r="I9" i="8" s="1"/>
  <c r="B12" i="8"/>
  <c r="I10" i="8" s="1"/>
  <c r="B8" i="8"/>
  <c r="I6" i="8" s="1"/>
  <c r="E9" i="7"/>
  <c r="E10" i="7"/>
  <c r="E11" i="7"/>
  <c r="E12" i="7"/>
  <c r="D9" i="7"/>
  <c r="D10" i="7"/>
  <c r="D11" i="7"/>
  <c r="D12" i="7"/>
  <c r="C9" i="7"/>
  <c r="C10" i="7"/>
  <c r="C11" i="7"/>
  <c r="C12" i="7"/>
  <c r="C8" i="7"/>
  <c r="D8" i="7"/>
  <c r="E8" i="7"/>
  <c r="B9" i="7"/>
  <c r="I16" i="7" s="1"/>
  <c r="B10" i="7"/>
  <c r="I17" i="7" s="1"/>
  <c r="B11" i="7"/>
  <c r="I9" i="7" s="1"/>
  <c r="B12" i="7"/>
  <c r="I19" i="7" s="1"/>
  <c r="B8" i="7"/>
  <c r="I6" i="7" s="1"/>
  <c r="B4" i="7"/>
  <c r="C4" i="7"/>
  <c r="D4" i="7"/>
  <c r="E4" i="7"/>
  <c r="F4" i="7"/>
  <c r="B5" i="7"/>
  <c r="C3" i="7"/>
  <c r="D3" i="7"/>
  <c r="E3" i="7"/>
  <c r="F3" i="7"/>
  <c r="B3" i="7"/>
  <c r="C8" i="6"/>
  <c r="D8" i="6"/>
  <c r="E8" i="6"/>
  <c r="C9" i="6"/>
  <c r="D9" i="6"/>
  <c r="E9" i="6"/>
  <c r="C10" i="6"/>
  <c r="D10" i="6"/>
  <c r="E10" i="6"/>
  <c r="C11" i="6"/>
  <c r="D11" i="6"/>
  <c r="E11" i="6"/>
  <c r="C12" i="6"/>
  <c r="D12" i="6"/>
  <c r="E12" i="6"/>
  <c r="B9" i="6"/>
  <c r="I7" i="6" s="1"/>
  <c r="B10" i="6"/>
  <c r="I17" i="6" s="1"/>
  <c r="B11" i="6"/>
  <c r="I9" i="6" s="1"/>
  <c r="B12" i="6"/>
  <c r="I19" i="6" s="1"/>
  <c r="B8" i="6"/>
  <c r="I15" i="6" s="1"/>
  <c r="B4" i="6"/>
  <c r="C4" i="6"/>
  <c r="D4" i="6"/>
  <c r="E4" i="6"/>
  <c r="F4" i="6"/>
  <c r="B5" i="6"/>
  <c r="C3" i="6"/>
  <c r="D3" i="6"/>
  <c r="E3" i="6"/>
  <c r="F3" i="6"/>
  <c r="B3" i="6"/>
  <c r="E5" i="5"/>
  <c r="E6" i="5"/>
  <c r="E7" i="5"/>
  <c r="E8" i="5"/>
  <c r="D5" i="5"/>
  <c r="D6" i="5"/>
  <c r="D7" i="5"/>
  <c r="D8" i="5"/>
  <c r="C5" i="5"/>
  <c r="C6" i="5"/>
  <c r="C7" i="5"/>
  <c r="C8" i="5"/>
  <c r="C4" i="5"/>
  <c r="D4" i="5"/>
  <c r="D9" i="5" s="1"/>
  <c r="M4" i="5" s="1"/>
  <c r="M12" i="5" s="1"/>
  <c r="E4" i="5"/>
  <c r="B5" i="5"/>
  <c r="K5" i="5" s="1"/>
  <c r="B6" i="5"/>
  <c r="K6" i="5" s="1"/>
  <c r="B7" i="5"/>
  <c r="K15" i="5" s="1"/>
  <c r="B8" i="5"/>
  <c r="K16" i="5" s="1"/>
  <c r="B4" i="5"/>
  <c r="K12" i="5" s="1"/>
  <c r="J13" i="4"/>
  <c r="C4" i="4"/>
  <c r="C5" i="4"/>
  <c r="C14" i="4" s="1"/>
  <c r="C6" i="4"/>
  <c r="C7" i="4"/>
  <c r="C8" i="4"/>
  <c r="C17" i="4" s="1"/>
  <c r="E5" i="4"/>
  <c r="E14" i="4" s="1"/>
  <c r="E6" i="4"/>
  <c r="E7" i="4"/>
  <c r="E8" i="4"/>
  <c r="E17" i="4" s="1"/>
  <c r="D5" i="4"/>
  <c r="D14" i="4" s="1"/>
  <c r="D6" i="4"/>
  <c r="D15" i="4" s="1"/>
  <c r="D7" i="4"/>
  <c r="D16" i="4" s="1"/>
  <c r="D8" i="4"/>
  <c r="D17" i="4" s="1"/>
  <c r="D4" i="4"/>
  <c r="D13" i="4" s="1"/>
  <c r="E4" i="4"/>
  <c r="E13" i="4" s="1"/>
  <c r="B5" i="4"/>
  <c r="J5" i="4" s="1"/>
  <c r="B6" i="4"/>
  <c r="J6" i="4" s="1"/>
  <c r="B7" i="4"/>
  <c r="B16" i="4" s="1"/>
  <c r="B8" i="4"/>
  <c r="B17" i="4" s="1"/>
  <c r="B4" i="4"/>
  <c r="J4" i="4" s="1"/>
  <c r="G7" i="3"/>
  <c r="F11" i="9" s="1"/>
  <c r="G4" i="3"/>
  <c r="F8" i="8" s="1"/>
  <c r="G5" i="3"/>
  <c r="F9" i="6" s="1"/>
  <c r="G6" i="3"/>
  <c r="F10" i="9" s="1"/>
  <c r="G8" i="3"/>
  <c r="F12" i="10" s="1"/>
  <c r="J17" i="4" l="1"/>
  <c r="B13" i="4"/>
  <c r="I15" i="8"/>
  <c r="I19" i="8"/>
  <c r="K8" i="5"/>
  <c r="J8" i="4"/>
  <c r="K13" i="5"/>
  <c r="I6" i="6"/>
  <c r="I15" i="7"/>
  <c r="I10" i="6"/>
  <c r="I8" i="6"/>
  <c r="I18" i="8"/>
  <c r="I22" i="9"/>
  <c r="I7" i="7"/>
  <c r="J7" i="4"/>
  <c r="K4" i="5"/>
  <c r="E13" i="9"/>
  <c r="L11" i="9" s="1"/>
  <c r="I25" i="9"/>
  <c r="J11" i="10"/>
  <c r="J14" i="4"/>
  <c r="I16" i="8"/>
  <c r="I7" i="9"/>
  <c r="J16" i="4"/>
  <c r="I10" i="9"/>
  <c r="B14" i="4"/>
  <c r="C13" i="9"/>
  <c r="J7" i="9" s="1"/>
  <c r="I16" i="6"/>
  <c r="D13" i="9"/>
  <c r="K9" i="9" s="1"/>
  <c r="D18" i="4"/>
  <c r="L8" i="4" s="1"/>
  <c r="C9" i="5"/>
  <c r="L8" i="5" s="1"/>
  <c r="L16" i="5" s="1"/>
  <c r="E9" i="5"/>
  <c r="N4" i="5" s="1"/>
  <c r="N12" i="5" s="1"/>
  <c r="K14" i="5"/>
  <c r="I10" i="7"/>
  <c r="I17" i="8"/>
  <c r="F9" i="7"/>
  <c r="F9" i="9"/>
  <c r="F8" i="10"/>
  <c r="F8" i="5"/>
  <c r="F8" i="4"/>
  <c r="F17" i="4" s="1"/>
  <c r="F5" i="5"/>
  <c r="F8" i="6"/>
  <c r="F12" i="7"/>
  <c r="F12" i="9"/>
  <c r="F9" i="10"/>
  <c r="F8" i="7"/>
  <c r="F8" i="9"/>
  <c r="F5" i="4"/>
  <c r="F14" i="4" s="1"/>
  <c r="F4" i="5"/>
  <c r="F12" i="6"/>
  <c r="F12" i="8"/>
  <c r="F4" i="4"/>
  <c r="F13" i="4" s="1"/>
  <c r="F11" i="6"/>
  <c r="F9" i="8"/>
  <c r="L7" i="5"/>
  <c r="L15" i="5" s="1"/>
  <c r="N7" i="5"/>
  <c r="N15" i="5" s="1"/>
  <c r="L5" i="5"/>
  <c r="L13" i="5" s="1"/>
  <c r="L6" i="4"/>
  <c r="L7" i="4"/>
  <c r="C16" i="4"/>
  <c r="F7" i="4"/>
  <c r="C15" i="4"/>
  <c r="I3" i="5"/>
  <c r="I4" i="5" s="1"/>
  <c r="I8" i="7"/>
  <c r="M6" i="5"/>
  <c r="M14" i="5" s="1"/>
  <c r="C9" i="4"/>
  <c r="K15" i="4" s="1"/>
  <c r="E16" i="4"/>
  <c r="F6" i="4"/>
  <c r="E15" i="4"/>
  <c r="E18" i="4" s="1"/>
  <c r="F7" i="5"/>
  <c r="F6" i="5"/>
  <c r="F11" i="7"/>
  <c r="I18" i="7"/>
  <c r="B15" i="4"/>
  <c r="I18" i="6"/>
  <c r="F10" i="7"/>
  <c r="J15" i="4"/>
  <c r="K7" i="5"/>
  <c r="M8" i="5"/>
  <c r="M16" i="5" s="1"/>
  <c r="I23" i="9"/>
  <c r="M7" i="5"/>
  <c r="M15" i="5" s="1"/>
  <c r="F11" i="10"/>
  <c r="F11" i="8"/>
  <c r="D14" i="10"/>
  <c r="F10" i="10"/>
  <c r="M5" i="5"/>
  <c r="M13" i="5" s="1"/>
  <c r="F10" i="6"/>
  <c r="F10" i="8"/>
  <c r="J22" i="10"/>
  <c r="E14" i="10"/>
  <c r="C14" i="10"/>
  <c r="C13" i="10"/>
  <c r="J21" i="10"/>
  <c r="D13" i="10"/>
  <c r="J12" i="10"/>
  <c r="E13" i="10"/>
  <c r="J23" i="10"/>
  <c r="K10" i="9"/>
  <c r="K8" i="9"/>
  <c r="L8" i="9"/>
  <c r="K11" i="9"/>
  <c r="K7" i="9"/>
  <c r="J9" i="9"/>
  <c r="C13" i="4"/>
  <c r="D9" i="4"/>
  <c r="L16" i="4" s="1"/>
  <c r="E9" i="4"/>
  <c r="M15" i="4" s="1"/>
  <c r="L17" i="6" s="1"/>
  <c r="F14" i="10" l="1"/>
  <c r="L5" i="4"/>
  <c r="F13" i="10"/>
  <c r="N9" i="10" s="1"/>
  <c r="L4" i="4"/>
  <c r="N8" i="5"/>
  <c r="N16" i="5" s="1"/>
  <c r="J10" i="9"/>
  <c r="J13" i="9" s="1"/>
  <c r="L9" i="9"/>
  <c r="L10" i="9"/>
  <c r="L7" i="9"/>
  <c r="L12" i="9" s="1"/>
  <c r="J11" i="9"/>
  <c r="J8" i="9"/>
  <c r="N6" i="5"/>
  <c r="N14" i="5" s="1"/>
  <c r="N5" i="5"/>
  <c r="N13" i="5" s="1"/>
  <c r="F9" i="4"/>
  <c r="N14" i="4" s="1"/>
  <c r="F13" i="9"/>
  <c r="M17" i="5"/>
  <c r="M18" i="5" s="1"/>
  <c r="M19" i="5" s="1"/>
  <c r="L6" i="5"/>
  <c r="L14" i="5" s="1"/>
  <c r="L17" i="5" s="1"/>
  <c r="L18" i="5" s="1"/>
  <c r="L19" i="5" s="1"/>
  <c r="L4" i="5"/>
  <c r="L12" i="5" s="1"/>
  <c r="M8" i="10"/>
  <c r="L18" i="7"/>
  <c r="K18" i="7"/>
  <c r="K13" i="4"/>
  <c r="K14" i="4"/>
  <c r="K17" i="4"/>
  <c r="F16" i="4"/>
  <c r="N17" i="5"/>
  <c r="N18" i="5" s="1"/>
  <c r="N19" i="5" s="1"/>
  <c r="M13" i="4"/>
  <c r="M14" i="4"/>
  <c r="M17" i="4"/>
  <c r="L10" i="6" s="1"/>
  <c r="L15" i="4"/>
  <c r="L17" i="4"/>
  <c r="K10" i="7" s="1"/>
  <c r="L14" i="4"/>
  <c r="L13" i="4"/>
  <c r="L8" i="7"/>
  <c r="M16" i="4"/>
  <c r="L18" i="6" s="1"/>
  <c r="F9" i="5"/>
  <c r="K16" i="4"/>
  <c r="F15" i="4"/>
  <c r="K17" i="6"/>
  <c r="L19" i="6"/>
  <c r="L8" i="6"/>
  <c r="C18" i="4"/>
  <c r="K7" i="4" s="1"/>
  <c r="J18" i="7" s="1"/>
  <c r="L17" i="7"/>
  <c r="J18" i="6"/>
  <c r="O7" i="5"/>
  <c r="O15" i="5" s="1"/>
  <c r="K9" i="6"/>
  <c r="K9" i="7"/>
  <c r="M5" i="4"/>
  <c r="M4" i="4"/>
  <c r="M6" i="4"/>
  <c r="M7" i="4"/>
  <c r="M8" i="4"/>
  <c r="L8" i="10"/>
  <c r="L12" i="10"/>
  <c r="L9" i="10"/>
  <c r="K9" i="10"/>
  <c r="K11" i="10"/>
  <c r="K8" i="10"/>
  <c r="K12" i="10"/>
  <c r="L10" i="10"/>
  <c r="L11" i="10"/>
  <c r="M9" i="10"/>
  <c r="M10" i="10"/>
  <c r="M11" i="10"/>
  <c r="M12" i="10"/>
  <c r="K10" i="10"/>
  <c r="K12" i="9"/>
  <c r="K13" i="9"/>
  <c r="K6" i="4"/>
  <c r="J8" i="7" s="1"/>
  <c r="K8" i="4"/>
  <c r="K4" i="4"/>
  <c r="K5" i="4"/>
  <c r="N10" i="10" l="1"/>
  <c r="N15" i="4"/>
  <c r="M17" i="6" s="1"/>
  <c r="N12" i="10"/>
  <c r="O12" i="10" s="1"/>
  <c r="N11" i="10"/>
  <c r="O11" i="10" s="1"/>
  <c r="N8" i="10"/>
  <c r="O8" i="10" s="1"/>
  <c r="L19" i="7"/>
  <c r="K19" i="6"/>
  <c r="N13" i="4"/>
  <c r="M6" i="7" s="1"/>
  <c r="N17" i="4"/>
  <c r="M19" i="7" s="1"/>
  <c r="L10" i="7"/>
  <c r="L13" i="9"/>
  <c r="J12" i="9"/>
  <c r="N16" i="4"/>
  <c r="M10" i="9"/>
  <c r="M8" i="9"/>
  <c r="M11" i="9"/>
  <c r="K18" i="6"/>
  <c r="M9" i="9"/>
  <c r="M7" i="9"/>
  <c r="K16" i="7"/>
  <c r="K7" i="6"/>
  <c r="K7" i="7"/>
  <c r="K19" i="7"/>
  <c r="O8" i="5"/>
  <c r="O16" i="5" s="1"/>
  <c r="O4" i="5"/>
  <c r="O12" i="5" s="1"/>
  <c r="O5" i="5"/>
  <c r="O13" i="5" s="1"/>
  <c r="K17" i="7"/>
  <c r="K8" i="6"/>
  <c r="K8" i="7"/>
  <c r="K6" i="7"/>
  <c r="K15" i="7"/>
  <c r="K6" i="6"/>
  <c r="J16" i="6"/>
  <c r="J7" i="6"/>
  <c r="J7" i="7"/>
  <c r="J16" i="7"/>
  <c r="K10" i="6"/>
  <c r="O6" i="5"/>
  <c r="O14" i="5" s="1"/>
  <c r="L9" i="7"/>
  <c r="L9" i="6"/>
  <c r="L16" i="6"/>
  <c r="L7" i="7"/>
  <c r="K16" i="6"/>
  <c r="L16" i="7"/>
  <c r="L7" i="6"/>
  <c r="M7" i="6"/>
  <c r="M16" i="7"/>
  <c r="M7" i="7"/>
  <c r="M16" i="6"/>
  <c r="J8" i="6"/>
  <c r="J17" i="6"/>
  <c r="J17" i="7"/>
  <c r="J15" i="6"/>
  <c r="J6" i="6"/>
  <c r="J15" i="7"/>
  <c r="J6" i="7"/>
  <c r="J19" i="6"/>
  <c r="J10" i="7"/>
  <c r="J10" i="6"/>
  <c r="J19" i="7"/>
  <c r="J9" i="6"/>
  <c r="J9" i="7"/>
  <c r="F18" i="4"/>
  <c r="K15" i="6"/>
  <c r="L15" i="6"/>
  <c r="L6" i="7"/>
  <c r="L6" i="6"/>
  <c r="L15" i="7"/>
  <c r="M8" i="6"/>
  <c r="M17" i="7"/>
  <c r="O9" i="10"/>
  <c r="P9" i="10"/>
  <c r="O10" i="10"/>
  <c r="P10" i="10"/>
  <c r="P11" i="10"/>
  <c r="P12" i="10" l="1"/>
  <c r="P8" i="10"/>
  <c r="M8" i="7"/>
  <c r="M6" i="6"/>
  <c r="M19" i="6"/>
  <c r="M15" i="6"/>
  <c r="M15" i="7"/>
  <c r="M9" i="6"/>
  <c r="N9" i="6" s="1"/>
  <c r="J9" i="8" s="1"/>
  <c r="M18" i="6"/>
  <c r="M18" i="7"/>
  <c r="M10" i="7"/>
  <c r="N10" i="7" s="1"/>
  <c r="K10" i="8" s="1"/>
  <c r="M10" i="6"/>
  <c r="N10" i="6" s="1"/>
  <c r="J10" i="8" s="1"/>
  <c r="M9" i="7"/>
  <c r="N9" i="7" s="1"/>
  <c r="N7" i="7"/>
  <c r="K7" i="8" s="1"/>
  <c r="N8" i="6"/>
  <c r="J8" i="8" s="1"/>
  <c r="M12" i="9"/>
  <c r="M13" i="9"/>
  <c r="N6" i="7"/>
  <c r="K6" i="8" s="1"/>
  <c r="N8" i="7"/>
  <c r="N7" i="4"/>
  <c r="N8" i="4"/>
  <c r="N4" i="4"/>
  <c r="N6" i="4"/>
  <c r="N5" i="4"/>
  <c r="N7" i="6"/>
  <c r="P4" i="10"/>
  <c r="N6" i="6"/>
  <c r="O17" i="5"/>
  <c r="O18" i="5" s="1"/>
  <c r="O19" i="5" s="1"/>
  <c r="P5" i="10"/>
  <c r="P3" i="10" l="1"/>
  <c r="P2" i="10"/>
  <c r="O10" i="7"/>
  <c r="D10" i="11" s="1"/>
  <c r="O8" i="6"/>
  <c r="C8" i="11" s="1"/>
  <c r="O11" i="9"/>
  <c r="O7" i="9"/>
  <c r="O9" i="9"/>
  <c r="O8" i="9"/>
  <c r="O10" i="9"/>
  <c r="N9" i="9"/>
  <c r="N11" i="9"/>
  <c r="N8" i="9"/>
  <c r="N10" i="9"/>
  <c r="N7" i="9"/>
  <c r="O9" i="6"/>
  <c r="C9" i="11" s="1"/>
  <c r="O10" i="6"/>
  <c r="C10" i="11" s="1"/>
  <c r="O7" i="6"/>
  <c r="C7" i="11" s="1"/>
  <c r="J7" i="8"/>
  <c r="L7" i="8" s="1"/>
  <c r="L10" i="8"/>
  <c r="O8" i="7"/>
  <c r="D8" i="11" s="1"/>
  <c r="K8" i="8"/>
  <c r="L8" i="8" s="1"/>
  <c r="J6" i="8"/>
  <c r="L6" i="8" s="1"/>
  <c r="O6" i="6"/>
  <c r="C6" i="11" s="1"/>
  <c r="P19" i="5"/>
  <c r="O6" i="7"/>
  <c r="D6" i="11" s="1"/>
  <c r="K9" i="8"/>
  <c r="L9" i="8" s="1"/>
  <c r="O9" i="7"/>
  <c r="D9" i="11" s="1"/>
  <c r="O7" i="7"/>
  <c r="D7" i="11" s="1"/>
  <c r="Q9" i="10"/>
  <c r="Q8" i="10"/>
  <c r="Q10" i="10"/>
  <c r="Q12" i="10"/>
  <c r="Q11" i="10"/>
  <c r="P10" i="9" l="1"/>
  <c r="P8" i="9"/>
  <c r="P9" i="9"/>
  <c r="P7" i="9"/>
  <c r="P11" i="9"/>
  <c r="M9" i="8"/>
  <c r="E9" i="11" s="1"/>
  <c r="M20" i="5"/>
  <c r="D12" i="3" s="1"/>
  <c r="N20" i="5"/>
  <c r="E12" i="3" s="1"/>
  <c r="L20" i="5"/>
  <c r="O20" i="5"/>
  <c r="F12" i="3" s="1"/>
  <c r="M7" i="8"/>
  <c r="E7" i="11" s="1"/>
  <c r="M6" i="8"/>
  <c r="E6" i="11" s="1"/>
  <c r="I6" i="11" s="1"/>
  <c r="M8" i="8"/>
  <c r="E8" i="11" s="1"/>
  <c r="R11" i="10"/>
  <c r="G9" i="11" s="1"/>
  <c r="M10" i="8"/>
  <c r="E10" i="11" s="1"/>
  <c r="R12" i="10"/>
  <c r="G10" i="11" s="1"/>
  <c r="R10" i="10"/>
  <c r="G8" i="11" s="1"/>
  <c r="R8" i="10"/>
  <c r="G6" i="11" s="1"/>
  <c r="R9" i="10"/>
  <c r="G7" i="11" s="1"/>
  <c r="Q11" i="9" l="1"/>
  <c r="F10" i="11" s="1"/>
  <c r="Q9" i="9"/>
  <c r="F8" i="11" s="1"/>
  <c r="Q8" i="9"/>
  <c r="F7" i="11" s="1"/>
  <c r="H7" i="11" s="1"/>
  <c r="Q7" i="9"/>
  <c r="F6" i="11" s="1"/>
  <c r="H6" i="11" s="1"/>
  <c r="J6" i="11" s="1"/>
  <c r="Q10" i="9"/>
  <c r="F9" i="11" s="1"/>
  <c r="H9" i="11" s="1"/>
  <c r="I10" i="11"/>
  <c r="I7" i="11"/>
  <c r="H8" i="11"/>
  <c r="H10" i="11"/>
  <c r="F5" i="6"/>
  <c r="F5" i="10"/>
  <c r="F5" i="9"/>
  <c r="F5" i="7"/>
  <c r="P20" i="5"/>
  <c r="C12" i="3"/>
  <c r="E5" i="6"/>
  <c r="E5" i="10"/>
  <c r="E5" i="9"/>
  <c r="E5" i="7"/>
  <c r="D5" i="10"/>
  <c r="D5" i="9"/>
  <c r="D5" i="7"/>
  <c r="D5" i="6"/>
  <c r="I8" i="11"/>
  <c r="J10" i="11" l="1"/>
  <c r="J7" i="11"/>
  <c r="I9" i="11"/>
  <c r="J9" i="11" s="1"/>
  <c r="J8" i="11"/>
  <c r="K8" i="11" s="1"/>
  <c r="M21" i="9"/>
  <c r="M23" i="9"/>
  <c r="M22" i="9"/>
  <c r="M24" i="9"/>
  <c r="M25" i="9"/>
  <c r="L22" i="10"/>
  <c r="L21" i="10"/>
  <c r="L25" i="10"/>
  <c r="L23" i="10"/>
  <c r="L24" i="10"/>
  <c r="N21" i="10"/>
  <c r="N23" i="10"/>
  <c r="N25" i="10"/>
  <c r="N24" i="10"/>
  <c r="N22" i="10"/>
  <c r="L24" i="9"/>
  <c r="L22" i="9"/>
  <c r="L23" i="9"/>
  <c r="L25" i="9"/>
  <c r="L21" i="9"/>
  <c r="M21" i="10"/>
  <c r="M25" i="10"/>
  <c r="M24" i="10"/>
  <c r="M22" i="10"/>
  <c r="M23" i="10"/>
  <c r="C5" i="9"/>
  <c r="C5" i="7"/>
  <c r="C5" i="6"/>
  <c r="C5" i="10"/>
  <c r="K21" i="9"/>
  <c r="K25" i="9"/>
  <c r="K23" i="9"/>
  <c r="K22" i="9"/>
  <c r="K24" i="9"/>
  <c r="K9" i="11" l="1"/>
  <c r="K10" i="11"/>
  <c r="L11" i="3" s="1"/>
  <c r="K7" i="11"/>
  <c r="K6" i="11"/>
  <c r="L9" i="3"/>
  <c r="L8" i="3"/>
  <c r="L10" i="3"/>
  <c r="L7" i="3"/>
  <c r="N18" i="6"/>
  <c r="N19" i="6"/>
  <c r="N16" i="6"/>
  <c r="N17" i="6"/>
  <c r="N15" i="6"/>
  <c r="K22" i="10"/>
  <c r="K24" i="10"/>
  <c r="O24" i="10" s="1"/>
  <c r="K23" i="10"/>
  <c r="K21" i="10"/>
  <c r="K25" i="10"/>
  <c r="N18" i="7"/>
  <c r="N17" i="7"/>
  <c r="N16" i="7"/>
  <c r="N15" i="7"/>
  <c r="N19" i="7"/>
  <c r="L26" i="9"/>
  <c r="L27" i="9"/>
  <c r="J21" i="9"/>
  <c r="J23" i="9"/>
  <c r="O23" i="9" s="1"/>
  <c r="J22" i="9"/>
  <c r="O22" i="9" s="1"/>
  <c r="J25" i="9"/>
  <c r="O25" i="9" s="1"/>
  <c r="J24" i="9"/>
  <c r="O24" i="9" s="1"/>
  <c r="M26" i="9"/>
  <c r="M27" i="9"/>
  <c r="K27" i="9"/>
  <c r="K26" i="9"/>
  <c r="K15" i="8" l="1"/>
  <c r="O15" i="7"/>
  <c r="D17" i="11" s="1"/>
  <c r="O22" i="10"/>
  <c r="P22" i="10"/>
  <c r="K19" i="8"/>
  <c r="O19" i="7"/>
  <c r="D21" i="11" s="1"/>
  <c r="K16" i="8"/>
  <c r="O16" i="7"/>
  <c r="D18" i="11" s="1"/>
  <c r="O17" i="6"/>
  <c r="C19" i="11" s="1"/>
  <c r="J17" i="8"/>
  <c r="P24" i="10"/>
  <c r="K18" i="8"/>
  <c r="O18" i="7"/>
  <c r="D20" i="11" s="1"/>
  <c r="J16" i="8"/>
  <c r="O16" i="6"/>
  <c r="C18" i="11" s="1"/>
  <c r="K17" i="8"/>
  <c r="O17" i="7"/>
  <c r="D19" i="11" s="1"/>
  <c r="J27" i="9"/>
  <c r="O21" i="9" s="1"/>
  <c r="J26" i="9"/>
  <c r="O25" i="10"/>
  <c r="P25" i="10"/>
  <c r="J19" i="8"/>
  <c r="O19" i="6"/>
  <c r="C21" i="11" s="1"/>
  <c r="O23" i="10"/>
  <c r="P23" i="10"/>
  <c r="O15" i="6"/>
  <c r="C17" i="11" s="1"/>
  <c r="J15" i="8"/>
  <c r="L15" i="8" s="1"/>
  <c r="O21" i="10"/>
  <c r="P21" i="10"/>
  <c r="J18" i="8"/>
  <c r="O18" i="6"/>
  <c r="C20" i="11" s="1"/>
  <c r="L19" i="8" l="1"/>
  <c r="L17" i="8"/>
  <c r="L18" i="8"/>
  <c r="L16" i="8"/>
  <c r="P15" i="10"/>
  <c r="P16" i="10"/>
  <c r="P17" i="10"/>
  <c r="P18" i="10"/>
  <c r="N24" i="9"/>
  <c r="P24" i="9" s="1"/>
  <c r="N25" i="9"/>
  <c r="P25" i="9" s="1"/>
  <c r="N23" i="9"/>
  <c r="P23" i="9" s="1"/>
  <c r="N21" i="9"/>
  <c r="P21" i="9" s="1"/>
  <c r="N22" i="9"/>
  <c r="P22" i="9" s="1"/>
  <c r="M15" i="8" l="1"/>
  <c r="E17" i="11" s="1"/>
  <c r="Q21" i="9"/>
  <c r="F17" i="11" s="1"/>
  <c r="Q22" i="10"/>
  <c r="Q21" i="10"/>
  <c r="M17" i="8"/>
  <c r="E19" i="11" s="1"/>
  <c r="M18" i="8"/>
  <c r="E20" i="11" s="1"/>
  <c r="Q25" i="10"/>
  <c r="Q23" i="9"/>
  <c r="F19" i="11" s="1"/>
  <c r="Q25" i="9"/>
  <c r="F21" i="11" s="1"/>
  <c r="Q24" i="9"/>
  <c r="F20" i="11" s="1"/>
  <c r="M16" i="8"/>
  <c r="E18" i="11" s="1"/>
  <c r="M19" i="8"/>
  <c r="E21" i="11" s="1"/>
  <c r="Q23" i="10"/>
  <c r="Q22" i="9"/>
  <c r="F18" i="11" s="1"/>
  <c r="Q24" i="10"/>
  <c r="R22" i="10" l="1"/>
  <c r="G18" i="11" s="1"/>
  <c r="H18" i="11" s="1"/>
  <c r="R24" i="10"/>
  <c r="G20" i="11" s="1"/>
  <c r="I20" i="11" s="1"/>
  <c r="R25" i="10"/>
  <c r="G21" i="11" s="1"/>
  <c r="H21" i="11" s="1"/>
  <c r="R23" i="10"/>
  <c r="G19" i="11" s="1"/>
  <c r="I19" i="11" s="1"/>
  <c r="R21" i="10"/>
  <c r="G17" i="11" s="1"/>
  <c r="I18" i="11" l="1"/>
  <c r="J18" i="11" s="1"/>
  <c r="H20" i="11"/>
  <c r="J20" i="11" s="1"/>
  <c r="I21" i="11"/>
  <c r="J21" i="11" s="1"/>
  <c r="H19" i="11"/>
  <c r="J19" i="11" s="1"/>
  <c r="H17" i="11"/>
  <c r="I17" i="11"/>
  <c r="J17" i="11" l="1"/>
  <c r="K21" i="11" s="1"/>
  <c r="K20" i="11" l="1"/>
  <c r="L20" i="3" s="1"/>
  <c r="K17" i="11"/>
  <c r="L17" i="3" s="1"/>
  <c r="K18" i="11"/>
  <c r="K19" i="11"/>
  <c r="L18" i="3"/>
  <c r="L19" i="3"/>
  <c r="L21" i="3"/>
</calcChain>
</file>

<file path=xl/sharedStrings.xml><?xml version="1.0" encoding="utf-8"?>
<sst xmlns="http://schemas.openxmlformats.org/spreadsheetml/2006/main" count="238" uniqueCount="66">
  <si>
    <t>Price</t>
  </si>
  <si>
    <t>Storage</t>
  </si>
  <si>
    <t>Camera</t>
  </si>
  <si>
    <t>Looks</t>
  </si>
  <si>
    <t>Mobile 1</t>
  </si>
  <si>
    <t>Mobile 2</t>
  </si>
  <si>
    <t>Mobile 3</t>
  </si>
  <si>
    <t>Mobile 4</t>
  </si>
  <si>
    <t>Mobile 5</t>
  </si>
  <si>
    <t>Poor</t>
  </si>
  <si>
    <t>Average</t>
  </si>
  <si>
    <t>Good</t>
  </si>
  <si>
    <t>Very Good</t>
  </si>
  <si>
    <t>Max</t>
  </si>
  <si>
    <t>Min</t>
  </si>
  <si>
    <t>WSM</t>
  </si>
  <si>
    <t>WPM</t>
  </si>
  <si>
    <t>WASPAS</t>
  </si>
  <si>
    <t>Vj+</t>
  </si>
  <si>
    <t>Vj-</t>
  </si>
  <si>
    <t>PI</t>
  </si>
  <si>
    <t>Atribute/ Criteria</t>
  </si>
  <si>
    <t>RAM</t>
  </si>
  <si>
    <t>Very Poor</t>
  </si>
  <si>
    <t>MAX</t>
  </si>
  <si>
    <t>Look</t>
  </si>
  <si>
    <t>Excellent</t>
  </si>
  <si>
    <t>Worst</t>
  </si>
  <si>
    <t>CAT</t>
  </si>
  <si>
    <t>WT (your weightage)</t>
  </si>
  <si>
    <t>WT (system weightage)</t>
  </si>
  <si>
    <t>MIN</t>
  </si>
  <si>
    <t>SUM</t>
  </si>
  <si>
    <t>Count</t>
  </si>
  <si>
    <t>H</t>
  </si>
  <si>
    <t>ej</t>
  </si>
  <si>
    <t>dj = 1 - ej</t>
  </si>
  <si>
    <t>Sum of dj</t>
  </si>
  <si>
    <t>wj</t>
  </si>
  <si>
    <t>Sum of wj</t>
  </si>
  <si>
    <t>Your Weightage</t>
  </si>
  <si>
    <t>System Weightage</t>
  </si>
  <si>
    <t>RANK</t>
  </si>
  <si>
    <t>Attribute/ Criteria</t>
  </si>
  <si>
    <t>NORM</t>
  </si>
  <si>
    <t>SI+</t>
  </si>
  <si>
    <t>SI-</t>
  </si>
  <si>
    <t>Calculated Weightage</t>
  </si>
  <si>
    <t>SI</t>
  </si>
  <si>
    <t>BEST (XI+)</t>
  </si>
  <si>
    <t>WORST (XI-)</t>
  </si>
  <si>
    <t>RI</t>
  </si>
  <si>
    <t>R*</t>
  </si>
  <si>
    <t>S*</t>
  </si>
  <si>
    <t>R-</t>
  </si>
  <si>
    <t>S-</t>
  </si>
  <si>
    <t>V</t>
  </si>
  <si>
    <t>QI</t>
  </si>
  <si>
    <t>TOPSIS</t>
  </si>
  <si>
    <t>VIKOR</t>
  </si>
  <si>
    <t>WSM1</t>
  </si>
  <si>
    <t>WPM1</t>
  </si>
  <si>
    <t>WASPAS1</t>
  </si>
  <si>
    <t>RESULTS</t>
  </si>
  <si>
    <t>Result</t>
  </si>
  <si>
    <t>Category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</si>
</sst>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13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4B58B3-DB51-4C64-A2CF-2BB335B03762}" name="Table1" displayName="Table1" ref="B3:G8">
  <autoFilter ref="B3:G8" xr:uid="{954B58B3-DB51-4C64-A2CF-2BB335B03762}"/>
  <tableColumns count="6">
    <tableColumn id="1" xr3:uid="{C8DE53EB-09EF-4EA3-9CB1-DBB16DEFDF82}" name="Attribute/ Criteria"/>
    <tableColumn id="2" xr3:uid="{54B7D1DA-F514-445B-9DBB-513F38669797}" name="Price"/>
    <tableColumn id="3" xr3:uid="{2D01BCAB-1F73-4257-BC5E-E47464FDBD5F}" name="RAM"/>
    <tableColumn id="4" xr3:uid="{1AB5BA7A-1E13-496B-990A-6B005406A3F9}" name="Camera"/>
    <tableColumn id="5" xr3:uid="{C47D3438-BED9-4D2B-AC63-73EA91D2250A}" name="Looks"/>
    <tableColumn id="6" xr3:uid="{E5E888D6-6714-49EE-BF71-507BCCD0AAAA}" name="Look" dataDxfId="130">
      <calculatedColumnFormula>VLOOKUP(Table1[[#This Row],[Looks]],$B$15:$C$21,2,FALSE)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5C6BF82-4FE3-4A46-90A6-05550B6D19F3}" name="Table9" displayName="Table9" ref="K11:O17" totalsRowCount="1">
  <autoFilter ref="K11:O16" xr:uid="{35C6BF82-4FE3-4A46-90A6-05550B6D19F3}"/>
  <tableColumns count="5">
    <tableColumn id="1" xr3:uid="{FD5AFF87-2E9F-45B7-BBF8-E63D1FEB3241}" name="Attribute/ Criteria" totalsRowLabel="SUM">
      <calculatedColumnFormula>B4</calculatedColumnFormula>
    </tableColumn>
    <tableColumn id="2" xr3:uid="{B360949C-F18F-4A29-8C9A-02F7D097F625}" name="Price" totalsRowFunction="custom" dataDxfId="101" totalsRowDxfId="100">
      <calculatedColumnFormula>L4*LN(L4)</calculatedColumnFormula>
      <totalsRowFormula>SUBTOTAL(9,Table9[Price])</totalsRowFormula>
    </tableColumn>
    <tableColumn id="3" xr3:uid="{6B4B2C83-7C88-47C4-8DD1-EA285AA183F6}" name="RAM" totalsRowFunction="sum" dataDxfId="99" totalsRowDxfId="98">
      <calculatedColumnFormula>M4*LN(M4)</calculatedColumnFormula>
    </tableColumn>
    <tableColumn id="4" xr3:uid="{305FF409-E24B-494F-8EAE-A67AF34756B1}" name="Camera" totalsRowFunction="sum" dataDxfId="97" totalsRowDxfId="96">
      <calculatedColumnFormula>N4*LN(N4)</calculatedColumnFormula>
    </tableColumn>
    <tableColumn id="5" xr3:uid="{377AC3E7-B067-452D-BFAE-8CB31B2E325D}" name="Looks" totalsRowFunction="sum">
      <calculatedColumnFormula>O4*LN(O4)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446F4C0-A12E-416A-A349-7CC14E8FDDB8}" name="Table10" displayName="Table10" ref="B7:F12" totalsRowShown="0">
  <autoFilter ref="B7:F12" xr:uid="{F446F4C0-A12E-416A-A349-7CC14E8FDDB8}"/>
  <tableColumns count="5">
    <tableColumn id="1" xr3:uid="{B1CCE982-8F73-41AA-81AD-B7767B8C8FB3}" name="Attribute/ Criteria">
      <calculatedColumnFormula>'Main Sheet'!B4</calculatedColumnFormula>
    </tableColumn>
    <tableColumn id="2" xr3:uid="{F1CB4A6D-B1AA-4B32-8137-70C053CAFD4D}" name="Price">
      <calculatedColumnFormula>'Main Sheet'!C4</calculatedColumnFormula>
    </tableColumn>
    <tableColumn id="3" xr3:uid="{3ED51A16-D936-48AD-A896-75FC2335AFB3}" name="RAM">
      <calculatedColumnFormula>'Main Sheet'!D4</calculatedColumnFormula>
    </tableColumn>
    <tableColumn id="4" xr3:uid="{A936D864-1ACD-4CD2-8D03-220DE45F91E7}" name="Camera">
      <calculatedColumnFormula>'Main Sheet'!E4</calculatedColumnFormula>
    </tableColumn>
    <tableColumn id="5" xr3:uid="{596A633E-52BD-4964-9018-FE8794FD08FB}" name="Looks" dataDxfId="95">
      <calculatedColumnFormula>'Main Sheet'!G4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D1D6C0E-2AE5-4502-8F1B-D1749FF588D5}" name="Table11" displayName="Table11" ref="I5:O10" totalsRowShown="0">
  <autoFilter ref="I5:O10" xr:uid="{2D1D6C0E-2AE5-4502-8F1B-D1749FF588D5}"/>
  <tableColumns count="7">
    <tableColumn id="1" xr3:uid="{CF32AC35-CC14-460E-A90F-8A4AB8096C17}" name="Attribute/ Criteria">
      <calculatedColumnFormula>B8</calculatedColumnFormula>
    </tableColumn>
    <tableColumn id="2" xr3:uid="{1A0F302A-B1E8-4CEC-8921-4B437093D4BE}" name="Price" dataDxfId="94">
      <calculatedColumnFormula>IF('Main Sheet'!$C$2=Normalisation!$J$2,VLOOKUP(Table11[[#This Row],[Attribute/ Criteria]],Table4[],2,FALSE),VLOOKUP(Table11[[#This Row],[Attribute/ Criteria]],Table5[],2,FALSE))</calculatedColumnFormula>
    </tableColumn>
    <tableColumn id="3" xr3:uid="{4B36FCBA-A672-4CA3-BF58-8BDC044B8653}" name="RAM" dataDxfId="93">
      <calculatedColumnFormula>IF('Main Sheet'!$D$2=Normalisation!$J$2,VLOOKUP(Table11[[#This Row],[Attribute/ Criteria]],Table4[],3,FALSE),VLOOKUP(Table11[[#This Row],[Attribute/ Criteria]],Table5[],3,FALSE))</calculatedColumnFormula>
    </tableColumn>
    <tableColumn id="4" xr3:uid="{367CFF92-BB22-49A2-9D23-7FE2F6CDAC79}" name="Camera" dataDxfId="92">
      <calculatedColumnFormula>IF('Main Sheet'!$E$2=Normalisation!$J$2,VLOOKUP(Table11[[#This Row],[Attribute/ Criteria]],Table4[],4,FALSE),VLOOKUP(Table11[[#This Row],[Attribute/ Criteria]],Table5[],4,FALSE))</calculatedColumnFormula>
    </tableColumn>
    <tableColumn id="5" xr3:uid="{0357BFD3-B2DD-4851-A84A-2726C2754FD0}" name="Looks" dataDxfId="91">
      <calculatedColumnFormula>IF('Main Sheet'!$E$2=Normalisation!$J$2,VLOOKUP(Table11[[#This Row],[Attribute/ Criteria]],Table4[],5,FALSE),VLOOKUP(Table11[[#This Row],[Attribute/ Criteria]],Table5[],5,FALSE))</calculatedColumnFormula>
    </tableColumn>
    <tableColumn id="6" xr3:uid="{D837D775-D25F-4B50-BCB3-BE5A68AF3DC6}" name="WSM" dataDxfId="90">
      <calculatedColumnFormula>Table11[[#This Row],[Price]]*$C$4+Table11[[#This Row],[RAM]]*$D$4+Table11[[#This Row],[Camera]]*$E$4+Table11[[#This Row],[Looks]]*$F$4</calculatedColumnFormula>
    </tableColumn>
    <tableColumn id="7" xr3:uid="{518FB88E-BB19-47B9-833E-ADC151DBA20B}" name="RANK" dataDxfId="89">
      <calculatedColumnFormula>RANK(Table11[[#This Row],[WSM]],Table11[WSM],0)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3F69E12-5F96-4BF9-8344-044674883E2F}" name="Table12" displayName="Table12" ref="I14:O19" totalsRowShown="0">
  <autoFilter ref="I14:O19" xr:uid="{C3F69E12-5F96-4BF9-8344-044674883E2F}"/>
  <tableColumns count="7">
    <tableColumn id="1" xr3:uid="{A64C4DEF-D207-4893-91D7-A0E13541E044}" name="Attribute/ Criteria">
      <calculatedColumnFormula>B8</calculatedColumnFormula>
    </tableColumn>
    <tableColumn id="2" xr3:uid="{1CB0BE62-6FEE-454D-9D09-0E59D0C46DC4}" name="Price" dataDxfId="88">
      <calculatedColumnFormula>IF('Main Sheet'!$C$2=Normalisation!$J$2,VLOOKUP(Table12[[#This Row],[Attribute/ Criteria]],Table4[],2,FALSE),VLOOKUP(Table12[[#This Row],[Attribute/ Criteria]],Table5[],2,FALSE))</calculatedColumnFormula>
    </tableColumn>
    <tableColumn id="3" xr3:uid="{D23497AF-C1BE-452C-B074-71B6C2E36EFE}" name="RAM" dataDxfId="87">
      <calculatedColumnFormula>IF('Main Sheet'!$D$2=Normalisation!$J$2,VLOOKUP(Table12[[#This Row],[Attribute/ Criteria]],Table4[],4,FALSE),VLOOKUP(Table12[[#This Row],[Attribute/ Criteria]],Table5[],4,FALSE))</calculatedColumnFormula>
    </tableColumn>
    <tableColumn id="4" xr3:uid="{B3C9BDBD-0FF5-4C9A-93DA-D5492402C02F}" name="Camera" dataDxfId="86">
      <calculatedColumnFormula>IF('Main Sheet'!$E$2=Normalisation!$J$2,VLOOKUP(Table12[[#This Row],[Attribute/ Criteria]],Table4[],4,FALSE),VLOOKUP(Table12[[#This Row],[Attribute/ Criteria]],Table5[],4,FALSE))</calculatedColumnFormula>
    </tableColumn>
    <tableColumn id="5" xr3:uid="{07ECE09A-EBFB-4987-88BD-C8BF010AFCC3}" name="Looks" dataDxfId="85">
      <calculatedColumnFormula>IF('Main Sheet'!$E$2=Normalisation!$J$2,VLOOKUP(Table12[[#This Row],[Attribute/ Criteria]],Table4[],5,FALSE),VLOOKUP(Table12[[#This Row],[Attribute/ Criteria]],Table5[],5,FALSE))</calculatedColumnFormula>
    </tableColumn>
    <tableColumn id="6" xr3:uid="{8304208F-5C4D-4F39-8553-F195504F503B}" name="WSM" dataDxfId="84">
      <calculatedColumnFormula>Table12[[#This Row],[Price]]*$C$5+Table12[[#This Row],[RAM]]*$D$5+Table12[[#This Row],[Camera]]*$E$5+Table12[[#This Row],[Looks]]*$F$5</calculatedColumnFormula>
    </tableColumn>
    <tableColumn id="7" xr3:uid="{61C277F7-4F6B-46EA-B6EC-BDFFAF0ABA39}" name="RANK" dataDxfId="83">
      <calculatedColumnFormula>RANK(Table12[[#This Row],[WSM]],Table12[WSM],0)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045EADF-E94E-4432-A96A-BD8343D586DD}" name="Table13" displayName="Table13" ref="B7:F12" totalsRowShown="0">
  <autoFilter ref="B7:F12" xr:uid="{E045EADF-E94E-4432-A96A-BD8343D586DD}"/>
  <tableColumns count="5">
    <tableColumn id="1" xr3:uid="{4BCFF323-7CD0-4D6C-B5B9-CA6FE91733DC}" name="Attribute/ Criteria">
      <calculatedColumnFormula>'Main Sheet'!B4</calculatedColumnFormula>
    </tableColumn>
    <tableColumn id="2" xr3:uid="{C48C371F-F222-4831-8C5A-DEAA3BDE2B8A}" name="Price">
      <calculatedColumnFormula>'Main Sheet'!C4</calculatedColumnFormula>
    </tableColumn>
    <tableColumn id="3" xr3:uid="{BA6DF7E6-48DA-402B-B4C9-9BC1C19E02C8}" name="RAM">
      <calculatedColumnFormula>'Main Sheet'!D4</calculatedColumnFormula>
    </tableColumn>
    <tableColumn id="4" xr3:uid="{81563118-5177-4396-874D-98AB656F9FA6}" name="Camera">
      <calculatedColumnFormula>'Main Sheet'!E4</calculatedColumnFormula>
    </tableColumn>
    <tableColumn id="5" xr3:uid="{DB8D446E-777C-4C6A-B843-90A5658A1CA1}" name="Looks" dataDxfId="82">
      <calculatedColumnFormula>'Main Sheet'!G4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64E60E5-47E0-43E9-B95E-55B8ED5D3927}" name="Table14" displayName="Table14" ref="I5:O10" totalsRowShown="0">
  <autoFilter ref="I5:O10" xr:uid="{564E60E5-47E0-43E9-B95E-55B8ED5D3927}"/>
  <tableColumns count="7">
    <tableColumn id="1" xr3:uid="{C4F1786B-81F7-4DF7-B9D6-C65AAB3FD3E1}" name="Attribute/ Criteria">
      <calculatedColumnFormula>B8</calculatedColumnFormula>
    </tableColumn>
    <tableColumn id="2" xr3:uid="{5042BC52-504D-465A-BA0C-76E018B15E36}" name="Price" dataDxfId="81">
      <calculatedColumnFormula>IF('Main Sheet'!$C$2=Normalisation!$J$2,VLOOKUP(Table14[[#This Row],[Attribute/ Criteria]],Table4[],2,FALSE),VLOOKUP(Table14[[#This Row],[Attribute/ Criteria]],Table5[],2,FALSE))</calculatedColumnFormula>
    </tableColumn>
    <tableColumn id="3" xr3:uid="{48A74B7D-43DA-41AA-BA2B-F0355C94BEB6}" name="RAM" dataDxfId="80">
      <calculatedColumnFormula>IF('Main Sheet'!$D$2=Normalisation!$J$2,VLOOKUP(Table14[[#This Row],[Attribute/ Criteria]],Table4[],3,FALSE),VLOOKUP(Table14[[#This Row],[Attribute/ Criteria]],Table5[],3,FALSE))</calculatedColumnFormula>
    </tableColumn>
    <tableColumn id="4" xr3:uid="{2B854D3D-4D3A-4881-B84E-CC4196ED0861}" name="Camera" dataDxfId="79">
      <calculatedColumnFormula>IF('Main Sheet'!$E$2=Normalisation!$J$2,VLOOKUP(Table14[[#This Row],[Attribute/ Criteria]],Table4[],4,FALSE),VLOOKUP(Table14[[#This Row],[Attribute/ Criteria]],Table5[],4,FALSE))</calculatedColumnFormula>
    </tableColumn>
    <tableColumn id="5" xr3:uid="{DF37FCD8-C1F1-407F-91C9-112359F2754B}" name="Looks" dataDxfId="78">
      <calculatedColumnFormula>IF('Main Sheet'!$F$2=Normalisation!$J$2,VLOOKUP(Table14[[#This Row],[Attribute/ Criteria]],Table4[],5,FALSE),VLOOKUP(Table14[[#This Row],[Attribute/ Criteria]],Table5[],5,FALSE))</calculatedColumnFormula>
    </tableColumn>
    <tableColumn id="6" xr3:uid="{22542C62-B87A-4C45-8DDB-116FFE9CFCD4}" name="WPM" dataDxfId="77">
      <calculatedColumnFormula>Table14[[#This Row],[Price]]^$C$4+Table14[[#This Row],[RAM]]^$D$4+Table14[[#This Row],[Camera]]^$E$4+Table14[[#This Row],[Looks]]^$F$4</calculatedColumnFormula>
    </tableColumn>
    <tableColumn id="7" xr3:uid="{C6D274CD-ED91-4193-9C47-C567288B8CE0}" name="RANK" dataDxfId="76">
      <calculatedColumnFormula>RANK(Table14[[#This Row],[WPM]],Table14[WPM],0)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FE24048-341F-4A77-A08C-4CCFD704A39F}" name="Table15" displayName="Table15" ref="I14:O19" totalsRowShown="0">
  <autoFilter ref="I14:O19" xr:uid="{6FE24048-341F-4A77-A08C-4CCFD704A39F}"/>
  <tableColumns count="7">
    <tableColumn id="1" xr3:uid="{A1233A9F-BBFB-4D71-AA31-938363A105A0}" name="Attribute/ Criteria">
      <calculatedColumnFormula>B8</calculatedColumnFormula>
    </tableColumn>
    <tableColumn id="2" xr3:uid="{DEB39E2F-1878-4531-8991-8417AB0A7953}" name="Price" dataDxfId="75">
      <calculatedColumnFormula>IF('Main Sheet'!$C$2=Normalisation!$J$2,VLOOKUP(Table15[[#This Row],[Attribute/ Criteria]],Table4[],2,FALSE),VLOOKUP(Table15[[#This Row],[Attribute/ Criteria]],Table5[],2,FALSE))</calculatedColumnFormula>
    </tableColumn>
    <tableColumn id="3" xr3:uid="{243784A1-0339-4EF4-AF1D-503145E10023}" name="RAM" dataDxfId="74">
      <calculatedColumnFormula>IF('Main Sheet'!$D$2=Normalisation!$J$2,VLOOKUP(Table15[[#This Row],[Attribute/ Criteria]],Table4[],3,FALSE),VLOOKUP(Table15[[#This Row],[Attribute/ Criteria]],Table5[],3,FALSE))</calculatedColumnFormula>
    </tableColumn>
    <tableColumn id="4" xr3:uid="{541D4BFA-C74E-4BB3-B2E4-FD8F3826612D}" name="Camera" dataDxfId="73">
      <calculatedColumnFormula>IF('Main Sheet'!$E$2=Normalisation!$J$2,VLOOKUP(Table15[[#This Row],[Attribute/ Criteria]],Table4[],4,FALSE),VLOOKUP(Table15[[#This Row],[Attribute/ Criteria]],Table5[],4,FALSE))</calculatedColumnFormula>
    </tableColumn>
    <tableColumn id="5" xr3:uid="{F615B018-62A3-4B36-ABF2-97EC90BF69B8}" name="Looks" dataDxfId="72">
      <calculatedColumnFormula>IF('Main Sheet'!$F$2=Normalisation!$J$2,VLOOKUP(Table15[[#This Row],[Attribute/ Criteria]],Table4[],5,FALSE),VLOOKUP(Table15[[#This Row],[Attribute/ Criteria]],Table5[],5,FALSE))</calculatedColumnFormula>
    </tableColumn>
    <tableColumn id="6" xr3:uid="{DDCC6005-6AF6-4D42-AAC0-890B65FC064B}" name="WPM" dataDxfId="71">
      <calculatedColumnFormula>Table15[[#This Row],[Price]]^$C$5+Table15[[#This Row],[RAM]]^$D$5+Table15[[#This Row],[Camera]]^$E$5+Table15[[#This Row],[Looks]]^$F$5</calculatedColumnFormula>
    </tableColumn>
    <tableColumn id="7" xr3:uid="{4E8F736F-0F45-403B-86BD-4750D0311DB7}" name="RANK" dataDxfId="70">
      <calculatedColumnFormula>RANK(Table15[[#This Row],[WPM]],Table15[WPM],0)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F643389-43EF-4242-AC67-0AF4CA153A68}" name="Table16" displayName="Table16" ref="B7:F12" totalsRowShown="0">
  <autoFilter ref="B7:F12" xr:uid="{5F643389-43EF-4242-AC67-0AF4CA153A68}"/>
  <tableColumns count="5">
    <tableColumn id="1" xr3:uid="{D958B972-69D4-4FAC-82C4-5F89C2DBA4DF}" name="Attribute/ Criteria">
      <calculatedColumnFormula>'Main Sheet'!B4</calculatedColumnFormula>
    </tableColumn>
    <tableColumn id="2" xr3:uid="{BA7DA0BD-2C40-43D9-8991-FEBC3A323038}" name="Price">
      <calculatedColumnFormula>'Main Sheet'!C4</calculatedColumnFormula>
    </tableColumn>
    <tableColumn id="3" xr3:uid="{CEAAA8D1-8B6E-4580-A147-0E78330B34DA}" name="RAM">
      <calculatedColumnFormula>'Main Sheet'!D4</calculatedColumnFormula>
    </tableColumn>
    <tableColumn id="4" xr3:uid="{C1B5870D-EE00-44A8-8C3E-4825F7E03E72}" name="Camera">
      <calculatedColumnFormula>'Main Sheet'!E4</calculatedColumnFormula>
    </tableColumn>
    <tableColumn id="5" xr3:uid="{52863827-D379-4FC6-AA62-352A2B461D6C}" name="Looks" dataDxfId="69">
      <calculatedColumnFormula>'Main Sheet'!G4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8251E29-24AE-4C28-880A-AF365874E090}" name="Table17" displayName="Table17" ref="I5:M10" totalsRowShown="0">
  <autoFilter ref="I5:M10" xr:uid="{C8251E29-24AE-4C28-880A-AF365874E090}"/>
  <tableColumns count="5">
    <tableColumn id="1" xr3:uid="{3C9F75B9-2999-4E3E-9C2C-375D3BF01A6D}" name="Attribute/ Criteria">
      <calculatedColumnFormula>B8</calculatedColumnFormula>
    </tableColumn>
    <tableColumn id="2" xr3:uid="{1AA6DA58-4BFC-4DF5-B875-19FC02DADC3D}" name="WSM" dataDxfId="68">
      <calculatedColumnFormula>Table11[[#This Row],[WSM]]</calculatedColumnFormula>
    </tableColumn>
    <tableColumn id="3" xr3:uid="{9CEE8375-8125-4987-8956-B3CB9E99AC08}" name="WPM" dataDxfId="67">
      <calculatedColumnFormula>Table14[[#This Row],[WPM]]</calculatedColumnFormula>
    </tableColumn>
    <tableColumn id="4" xr3:uid="{DBBD8835-FA9C-48FC-80F6-322FD9F33E69}" name="WASPAS" dataDxfId="66">
      <calculatedColumnFormula>Table17[[#This Row],[WSM]]*0.5+Table17[[#This Row],[WPM]]*0.5</calculatedColumnFormula>
    </tableColumn>
    <tableColumn id="6" xr3:uid="{D3EF4489-095A-40CA-A60D-DC84CBE0ADFB}" name="RANK" dataDxfId="65">
      <calculatedColumnFormula>RANK(Table17[[#This Row],[WASPAS]],Table17[WASPAS],0)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A092ED3-3D76-4FCA-87B7-7426C778657D}" name="Table18" displayName="Table18" ref="I14:M19" totalsRowShown="0">
  <autoFilter ref="I14:M19" xr:uid="{DA092ED3-3D76-4FCA-87B7-7426C778657D}"/>
  <tableColumns count="5">
    <tableColumn id="1" xr3:uid="{A38BE8A8-53E8-4E94-B4EB-0C20960BF0BF}" name="Attribute/ Criteria">
      <calculatedColumnFormula>B8</calculatedColumnFormula>
    </tableColumn>
    <tableColumn id="2" xr3:uid="{581D8C85-5335-4E52-9F8B-2DC210938FB2}" name="WSM" dataDxfId="64">
      <calculatedColumnFormula>Table12[[#This Row],[WSM]]</calculatedColumnFormula>
    </tableColumn>
    <tableColumn id="3" xr3:uid="{0A467744-55D4-4149-8EF2-18C740C01151}" name="WPM" dataDxfId="63">
      <calculatedColumnFormula>Table15[[#This Row],[WPM]]</calculatedColumnFormula>
    </tableColumn>
    <tableColumn id="4" xr3:uid="{86AD024B-7142-4760-94FD-F26B0C886AE7}" name="WASPAS" dataDxfId="62">
      <calculatedColumnFormula>Table18[[#This Row],[WSM]]*0.5+Table18[[#This Row],[WPM]]*0.5</calculatedColumnFormula>
    </tableColumn>
    <tableColumn id="5" xr3:uid="{A214EDCC-2731-4932-A6CE-82B311F509E5}" name="RANK" dataDxfId="61">
      <calculatedColumnFormula>RANK(Table18[[#This Row],[WASPAS]],Table18[WASPAS],0)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212DD156-816D-4736-88D9-80005394AD71}" name="Table29" displayName="Table29" ref="K6:L11" totalsRowShown="0">
  <autoFilter ref="K6:L11" xr:uid="{212DD156-816D-4736-88D9-80005394AD71}"/>
  <tableColumns count="2">
    <tableColumn id="1" xr3:uid="{9A43DA2C-91A6-4B34-B1A7-24E6169DB1BB}" name="Attribute/ Criteria">
      <calculatedColumnFormula>B4</calculatedColumnFormula>
    </tableColumn>
    <tableColumn id="2" xr3:uid="{E2B900D6-5CD4-4004-9C75-B46D9B6C6392}" name="Result" dataDxfId="129">
      <calculatedColumnFormula>'Average of all Methods'!K6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1085F2A-0DE1-47FF-A630-C3C020D1811B}" name="Table19" displayName="Table19" ref="B7:F13" totalsRowCount="1">
  <autoFilter ref="B7:F12" xr:uid="{91085F2A-0DE1-47FF-A630-C3C020D1811B}"/>
  <tableColumns count="5">
    <tableColumn id="1" xr3:uid="{4F90D68D-4AE9-406E-B786-05889F459E4A}" name="Attribute/ Criteria" totalsRowLabel="NORM">
      <calculatedColumnFormula>'Main Sheet'!B4</calculatedColumnFormula>
    </tableColumn>
    <tableColumn id="2" xr3:uid="{56C19D8A-25E6-474F-8490-C6ADB689E66B}" name="Price" totalsRowFunction="custom">
      <calculatedColumnFormula>'Main Sheet'!C4</calculatedColumnFormula>
      <totalsRowFormula>SQRT(SUMSQ(Table19[Price]))</totalsRowFormula>
    </tableColumn>
    <tableColumn id="3" xr3:uid="{B426721C-24AE-4045-B358-6378D785E608}" name="RAM" totalsRowFunction="custom">
      <calculatedColumnFormula>'Main Sheet'!D4</calculatedColumnFormula>
      <totalsRowFormula>SQRT(SUMSQ(Table19[RAM]))</totalsRowFormula>
    </tableColumn>
    <tableColumn id="4" xr3:uid="{3BF33CDB-0D73-4345-A534-2BD3320EF680}" name="Camera" totalsRowFunction="custom">
      <calculatedColumnFormula>'Main Sheet'!E4</calculatedColumnFormula>
      <totalsRowFormula>SQRT(SUMSQ(Table19[Camera]))</totalsRowFormula>
    </tableColumn>
    <tableColumn id="5" xr3:uid="{1D0E9D27-A052-498E-82C5-BC1FC319F0D5}" name="Looks" totalsRowFunction="custom" dataDxfId="60">
      <calculatedColumnFormula>'Main Sheet'!G4</calculatedColumnFormula>
      <totalsRowFormula>SQRT(SUMSQ(Table19[Looks]))</totalsRow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36E1201-F569-4563-AED8-5A2A1A1C266F}" name="Table20" displayName="Table20" ref="I6:Q12" totalsRowCount="1">
  <autoFilter ref="I6:Q11" xr:uid="{D36E1201-F569-4563-AED8-5A2A1A1C266F}"/>
  <tableColumns count="9">
    <tableColumn id="1" xr3:uid="{34ACF05D-EFCE-44DA-A01B-7B91BEBA14E2}" name="Attribute/ Criteria" totalsRowLabel="Vj+">
      <calculatedColumnFormula>B8</calculatedColumnFormula>
    </tableColumn>
    <tableColumn id="2" xr3:uid="{E03421B7-9909-4F89-81EA-F274B93089A1}" name="Price" totalsRowFunction="custom" dataDxfId="59" totalsRowDxfId="58">
      <calculatedColumnFormula>C8*$C$4/Table19[[#Totals],[Price]]</calculatedColumnFormula>
      <totalsRowFormula>SUBTOTAL(4,Table20[Price])</totalsRowFormula>
    </tableColumn>
    <tableColumn id="3" xr3:uid="{56610948-B56B-4153-A942-CE490A58BABF}" name="RAM" totalsRowFunction="custom" dataDxfId="57" totalsRowDxfId="56">
      <calculatedColumnFormula>D8*$D$4/Table19[[#Totals],[RAM]]</calculatedColumnFormula>
      <totalsRowFormula>SUBTOTAL(4,Table20[RAM])</totalsRowFormula>
    </tableColumn>
    <tableColumn id="4" xr3:uid="{B459B89C-AF43-432E-84B5-F3C6615B64F9}" name="Camera" totalsRowFunction="custom" dataDxfId="55" totalsRowDxfId="54">
      <calculatedColumnFormula>E8*$E$4/Table19[[#Totals],[Camera]]</calculatedColumnFormula>
      <totalsRowFormula>SUBTOTAL(4,Table20[Camera])</totalsRowFormula>
    </tableColumn>
    <tableColumn id="5" xr3:uid="{C4280CB6-C677-41EC-A0F0-FF3647EB0770}" name="Looks" totalsRowFunction="custom" dataDxfId="53" totalsRowDxfId="52">
      <calculatedColumnFormula>F8*$F$4/Table19[[#Totals],[Looks]]</calculatedColumnFormula>
      <totalsRowFormula>SUBTOTAL(4,Table20[Looks])</totalsRowFormula>
    </tableColumn>
    <tableColumn id="6" xr3:uid="{94802B75-D02F-4A37-A970-FA8270F00D45}" name="SI+" dataDxfId="51">
      <calculatedColumnFormula>SQRT(POWER(Table20[[#Totals],[Price]]-Table20[[#This Row],[Price]],2)+POWER(Table20[[#Totals],[RAM]]-Table20[[#This Row],[RAM]],2)+POWER(Table20[[#Totals],[Camera]]-Table20[[#This Row],[Camera]],2)+POWER(Table20[[#Totals],[Looks]]-Table20[[#This Row],[Looks]],2))</calculatedColumnFormula>
    </tableColumn>
    <tableColumn id="7" xr3:uid="{439BBDEB-940E-48BE-805C-C2BF1BE0FAD1}" name="SI-" dataDxfId="50">
      <calculatedColumnFormula>SQRT(POWER($J$13-Table20[[#This Row],[Price]],2)+POWER($K$13-Table20[[#This Row],[RAM]],2)+POWER($L$13-Table20[[#This Row],[Camera]],2)+POWER($M$13-Table20[[#This Row],[Looks]],2))</calculatedColumnFormula>
    </tableColumn>
    <tableColumn id="8" xr3:uid="{C1CDCB81-6B8B-4112-AF96-275F89E07CE8}" name="PI" dataDxfId="49">
      <calculatedColumnFormula>Table20[[#This Row],[SI-]]/(Table20[[#This Row],[SI+]]+Table20[[#This Row],[SI-]])</calculatedColumnFormula>
    </tableColumn>
    <tableColumn id="9" xr3:uid="{5C8E6474-BAA9-43D0-BD7F-AE32C9DC7430}" name="RANK" dataDxfId="48">
      <calculatedColumnFormula>RANK(Table20[[#This Row],[PI]],Table20[PI],0)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3EB2A3A-5EC0-43DC-89C9-097FBDB5C6E7}" name="Table21" displayName="Table21" ref="I20:Q26" totalsRowCount="1">
  <autoFilter ref="I20:Q25" xr:uid="{C3EB2A3A-5EC0-43DC-89C9-097FBDB5C6E7}"/>
  <tableColumns count="9">
    <tableColumn id="1" xr3:uid="{37DD8A60-344E-4506-9126-9DF54177865D}" name="Attribute/ Criteria" totalsRowLabel="Vj+">
      <calculatedColumnFormula>B8</calculatedColumnFormula>
    </tableColumn>
    <tableColumn id="2" xr3:uid="{09088589-975E-43BB-B093-8C71D4021AF3}" name="Price" totalsRowFunction="custom" dataDxfId="47" totalsRowDxfId="46">
      <calculatedColumnFormula>C8*$C$5/Table19[[#Totals],[Price]]</calculatedColumnFormula>
      <totalsRowFormula>SUBTOTAL(4,Table21[Price])</totalsRowFormula>
    </tableColumn>
    <tableColumn id="3" xr3:uid="{D8F1E142-8211-40F2-BD4D-B4033A7FA35B}" name="RAM" totalsRowFunction="custom" dataDxfId="45" totalsRowDxfId="44">
      <calculatedColumnFormula>D8*$D$5/Table19[[#Totals],[RAM]]</calculatedColumnFormula>
      <totalsRowFormula>SUBTOTAL(4,Table21[RAM])</totalsRowFormula>
    </tableColumn>
    <tableColumn id="4" xr3:uid="{A733CC91-3488-477E-9598-3E2DA8331814}" name="Camera" totalsRowFunction="custom" dataDxfId="43" totalsRowDxfId="42">
      <calculatedColumnFormula>E8*$E$5/Table19[[#Totals],[Camera]]</calculatedColumnFormula>
      <totalsRowFormula>SUBTOTAL(4,Table21[Camera])</totalsRowFormula>
    </tableColumn>
    <tableColumn id="5" xr3:uid="{EC600D90-7868-4759-99F2-85BBA8B1FBD9}" name="Looks" totalsRowFunction="custom" dataDxfId="41" totalsRowDxfId="40">
      <calculatedColumnFormula>F8*$F$5/Table19[[#Totals],[Looks]]</calculatedColumnFormula>
      <totalsRowFormula>SUBTOTAL(4,Table21[Looks])</totalsRowFormula>
    </tableColumn>
    <tableColumn id="6" xr3:uid="{7CCC950F-E721-4D68-B969-6550EAB691CF}" name="SI+" dataDxfId="39">
      <calculatedColumnFormula>SQRT(POWER(Table21[[#Totals],[Price]]-Table21[[#This Row],[Price]],2)+POWER(Table21[[#Totals],[RAM]]-Table21[[#This Row],[RAM]],2)+POWER(Table21[[#Totals],[Camera]]-Table21[[#This Row],[Camera]],2)+POWER(Table21[[#Totals],[Looks]]-Table21[[#This Row],[Looks]],2))</calculatedColumnFormula>
    </tableColumn>
    <tableColumn id="7" xr3:uid="{0633256E-7AEB-48CF-A398-B5C9BCA3A92E}" name="SI-" dataDxfId="38">
      <calculatedColumnFormula>SQRT(POWER(J27-Table21[[#This Row],[Price]],2)+POWER(K27-Table21[[#This Row],[RAM]],2)+POWER(L27-Table21[[#This Row],[Camera]],2)+POWER(M27-Table21[[#This Row],[Looks]],2))</calculatedColumnFormula>
    </tableColumn>
    <tableColumn id="8" xr3:uid="{95F6B9FE-0A5B-4723-86BA-918601B72291}" name="PI" dataDxfId="37">
      <calculatedColumnFormula>Table21[[#This Row],[SI-]]/(Table21[[#This Row],[SI+]]+Table21[[#This Row],[SI-]])</calculatedColumnFormula>
    </tableColumn>
    <tableColumn id="9" xr3:uid="{E73050D5-5616-443D-B33F-9B0EBF539CC5}" name="RANK" dataDxfId="36">
      <calculatedColumnFormula>RANK(Table21[[#This Row],[PI]],Table21[PI],0)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E1E1E24-0AB5-4A1E-9913-4135DEED63D0}" name="Table22" displayName="Table22" ref="B7:F13" totalsRowCount="1">
  <autoFilter ref="B7:F12" xr:uid="{4E1E1E24-0AB5-4A1E-9913-4135DEED63D0}"/>
  <tableColumns count="5">
    <tableColumn id="1" xr3:uid="{505825F7-B543-4FDC-B3C5-D2661C49A245}" name="Attribute/ Criteria" totalsRowLabel="BEST (XI+)">
      <calculatedColumnFormula>'Main Sheet'!B4</calculatedColumnFormula>
    </tableColumn>
    <tableColumn id="2" xr3:uid="{820DF739-0815-44A7-96CD-6D9EC1DD9583}" name="Price" totalsRowFunction="custom">
      <calculatedColumnFormula>'Main Sheet'!C4</calculatedColumnFormula>
      <totalsRowFormula>IF('Main Sheet'!$C$2=Normalisation!$J$2,SUBTOTAL(5,Table22[Price]),SUBTOTAL(4,Table22[Price]))</totalsRowFormula>
    </tableColumn>
    <tableColumn id="3" xr3:uid="{085A712B-0586-4860-9B46-34AD594AC217}" name="RAM" totalsRowFunction="custom">
      <calculatedColumnFormula>'Main Sheet'!D4</calculatedColumnFormula>
      <totalsRowFormula>IF('Main Sheet'!$D$2=Normalisation!$J$2,SUBTOTAL(5,Table22[RAM]),SUBTOTAL(4,Table22[RAM]))</totalsRowFormula>
    </tableColumn>
    <tableColumn id="4" xr3:uid="{FE2755B9-EB8A-4FBF-A282-BF78FEE03F63}" name="Camera" totalsRowFunction="custom">
      <calculatedColumnFormula>'Main Sheet'!E4</calculatedColumnFormula>
      <totalsRowFormula>IF('Main Sheet'!$E$2=Normalisation!$J$2,SUBTOTAL(5,Table22[Camera]),SUBTOTAL(4,Table22[Camera]))</totalsRowFormula>
    </tableColumn>
    <tableColumn id="5" xr3:uid="{E9EA462B-FA78-49DF-92C1-23F88E5153D2}" name="Looks" totalsRowFunction="custom" dataDxfId="35">
      <calculatedColumnFormula>'Main Sheet'!G4</calculatedColumnFormula>
      <totalsRowFormula>IF('Main Sheet'!$F$2=Normalisation!$J$2,SUBTOTAL(5,Table22[Looks]),SUBTOTAL(4,Table22[Looks]))</totalsRow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8CD76D5-FD0F-4AAD-BF72-24709394FF46}" name="Table23" displayName="Table23" ref="J7:R12" totalsRowShown="0">
  <autoFilter ref="J7:R12" xr:uid="{48CD76D5-FD0F-4AAD-BF72-24709394FF46}"/>
  <tableColumns count="9">
    <tableColumn id="1" xr3:uid="{8CA966CF-F72E-4136-A6FB-07FAE946EBA5}" name="Attribute/ Criteria">
      <calculatedColumnFormula>Table22[[#This Row],[Attribute/ Criteria]]</calculatedColumnFormula>
    </tableColumn>
    <tableColumn id="2" xr3:uid="{B05E0611-573B-4B31-B1FB-9A613FD7D93A}" name="Price" dataDxfId="34">
      <calculatedColumnFormula>$C$4*(Table22[[#Totals],[Price]]-Table22[[#This Row],[Price]])/(Table22[[#Totals],[Price]]-$C$14)</calculatedColumnFormula>
    </tableColumn>
    <tableColumn id="3" xr3:uid="{34FB5CAA-DEF7-4E66-9377-52CE8CFBA956}" name="RAM" dataDxfId="33">
      <calculatedColumnFormula>$D$4*(Table22[[#Totals],[RAM]]-Table22[[#This Row],[RAM]])/(Table22[[#Totals],[RAM]]-$D$14)</calculatedColumnFormula>
    </tableColumn>
    <tableColumn id="4" xr3:uid="{C71879CB-CE74-46BE-9AE8-BC2E4D506F6A}" name="Camera" dataDxfId="32">
      <calculatedColumnFormula>$E$4*(Table22[[#Totals],[Camera]]-Table22[[#This Row],[Camera]])/(Table22[[#Totals],[Camera]]-$E$14)</calculatedColumnFormula>
    </tableColumn>
    <tableColumn id="5" xr3:uid="{2E01331D-D69E-44BC-A54D-CF27CD2F9E07}" name="Looks" dataDxfId="31">
      <calculatedColumnFormula>$F$4*(Table22[[#Totals],[Looks]]-Table22[[#This Row],[Looks]])/(Table22[[#Totals],[Looks]]-$F$14)</calculatedColumnFormula>
    </tableColumn>
    <tableColumn id="6" xr3:uid="{22A0939E-C694-431D-A1AB-53159A52685B}" name="SI" dataDxfId="30">
      <calculatedColumnFormula>SUBTOTAL(9,Table23[[#This Row],[Price]:[Looks]])</calculatedColumnFormula>
    </tableColumn>
    <tableColumn id="7" xr3:uid="{6946FAA2-A7E6-4951-BD68-C8280814D1C3}" name="RI" dataDxfId="29">
      <calculatedColumnFormula>SUBTOTAL(4,Table23[[#This Row],[Price]:[Looks]])</calculatedColumnFormula>
    </tableColumn>
    <tableColumn id="8" xr3:uid="{E2BDCDC9-F046-4104-BE41-B006FE9A4546}" name="QI" dataDxfId="28">
      <calculatedColumnFormula>$H$4*(Table23[[#This Row],[SI]]-$P$4)/($P$5-$P$4) + (1 - $H$4)*(Table23[[#This Row],[RI]]-$P$2)/($P$3-$P$2)</calculatedColumnFormula>
    </tableColumn>
    <tableColumn id="9" xr3:uid="{5B83D0A9-D3F5-4B66-B3D5-1D1DA804F030}" name="RANK" dataDxfId="27">
      <calculatedColumnFormula>RANK(Table23[[#This Row],[QI]],Table23[QI],1)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C8E1885-A8E6-4BBE-90DF-D1FBAA0AF0D2}" name="Table24" displayName="Table24" ref="J20:R25" totalsRowShown="0">
  <autoFilter ref="J20:R25" xr:uid="{EC8E1885-A8E6-4BBE-90DF-D1FBAA0AF0D2}"/>
  <tableColumns count="9">
    <tableColumn id="1" xr3:uid="{141E86D4-6DB8-4E55-B885-19E8860CF731}" name="Attribute/ Criteria">
      <calculatedColumnFormula>B8</calculatedColumnFormula>
    </tableColumn>
    <tableColumn id="2" xr3:uid="{84BFA845-8E6E-4CBB-A4EF-6E06A2AD4AEB}" name="Price" dataDxfId="26">
      <calculatedColumnFormula>$C$5*(Table22[[#Totals],[Price]]-C8)/(Table22[[#Totals],[Price]]-$C$14)</calculatedColumnFormula>
    </tableColumn>
    <tableColumn id="3" xr3:uid="{BFAF04AE-A7A3-4B47-B140-220109381FBF}" name="RAM" dataDxfId="25">
      <calculatedColumnFormula>$D$5*(Table22[[#Totals],[RAM]]-D8)/(Table22[[#Totals],[RAM]]-$D$14)</calculatedColumnFormula>
    </tableColumn>
    <tableColumn id="4" xr3:uid="{669F013F-E390-409E-81FA-AC00821DF490}" name="Camera" dataDxfId="24">
      <calculatedColumnFormula>$E$5*(Table22[[#Totals],[Camera]]-E8)/(Table22[[#Totals],[Camera]]-$E$14)</calculatedColumnFormula>
    </tableColumn>
    <tableColumn id="5" xr3:uid="{ABF89303-3941-428E-AD3D-F798E1831706}" name="Looks" dataDxfId="23">
      <calculatedColumnFormula>$F$5*(Table22[[#Totals],[Looks]]-F8)/(Table22[[#Totals],[Looks]]-$F$14)</calculatedColumnFormula>
    </tableColumn>
    <tableColumn id="6" xr3:uid="{7BD3F966-B71C-4DFC-982B-5403E13AB538}" name="SI" dataDxfId="22">
      <calculatedColumnFormula>SUBTOTAL(9,Table24[[#This Row],[Price]:[Looks]])</calculatedColumnFormula>
    </tableColumn>
    <tableColumn id="7" xr3:uid="{042181C4-F8DA-492C-94E4-7A47FE3A2A73}" name="RI" dataDxfId="21">
      <calculatedColumnFormula>SUBTOTAL(4,Table24[[#This Row],[Price]:[Looks]])</calculatedColumnFormula>
    </tableColumn>
    <tableColumn id="8" xr3:uid="{C15A87A0-9E80-40C2-A43E-99BA0DD7C4D3}" name="QI" dataDxfId="20">
      <calculatedColumnFormula>$H$4*(Table24[[#This Row],[SI]]-$P$17)/($P$18-$P$17)+(1 - $H$4)*(Table24[[#This Row],[RI]]-$P$15)/($P$16-$P$15)</calculatedColumnFormula>
    </tableColumn>
    <tableColumn id="9" xr3:uid="{7897EEE6-7A24-44B1-879C-8E007F4237AC}" name="RANK" dataDxfId="19">
      <calculatedColumnFormula>RANK(Table24[[#This Row],[QI]],Table24[QI],1)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3AC3FDCB-61A1-489E-AA4C-52BBE7DAAB9A}" name="Table27" displayName="Table27" ref="B5:K10" totalsRowShown="0">
  <autoFilter ref="B5:K10" xr:uid="{3AC3FDCB-61A1-489E-AA4C-52BBE7DAAB9A}"/>
  <tableColumns count="10">
    <tableColumn id="1" xr3:uid="{9179FAE1-9EAF-4A4F-B03B-1FABA6412826}" name="Attribute/ Criteria" dataDxfId="18">
      <calculatedColumnFormula>'Main Sheet'!B4</calculatedColumnFormula>
    </tableColumn>
    <tableColumn id="2" xr3:uid="{20227C09-81C9-4958-B3CB-DB20CDE5A10A}" name="WSM" dataDxfId="17">
      <calculatedColumnFormula>Table11[[#This Row],[RANK]]</calculatedColumnFormula>
    </tableColumn>
    <tableColumn id="3" xr3:uid="{EFF27F73-84A0-4C03-A0D5-58F1368B519A}" name="WPM" dataDxfId="16">
      <calculatedColumnFormula>Table14[[#This Row],[RANK]]</calculatedColumnFormula>
    </tableColumn>
    <tableColumn id="4" xr3:uid="{12EDD846-7162-4569-BF7C-3F10F4B023AE}" name="WASPAS" dataDxfId="15">
      <calculatedColumnFormula>Table17[[#This Row],[RANK]]</calculatedColumnFormula>
    </tableColumn>
    <tableColumn id="5" xr3:uid="{0EAE09D4-6905-4EF3-929B-EA6408A4885B}" name="TOPSIS" dataDxfId="14">
      <calculatedColumnFormula>TOPSIS!Q7</calculatedColumnFormula>
    </tableColumn>
    <tableColumn id="6" xr3:uid="{1027E1C0-56B7-4A80-86C1-5171EEAB1B43}" name="VIKOR" dataDxfId="13">
      <calculatedColumnFormula>VIKOR!R8</calculatedColumnFormula>
    </tableColumn>
    <tableColumn id="7" xr3:uid="{FD7957BC-828D-4505-8486-745DD48E92E3}" name="WSM1" dataDxfId="12">
      <calculatedColumnFormula>SUBTOTAL(9,Table27[[#This Row],[WSM]:[VIKOR]])*$C$4</calculatedColumnFormula>
    </tableColumn>
    <tableColumn id="8" xr3:uid="{1C35AB29-4F19-4732-9B0E-B5C39BD25967}" name="WPM1" dataDxfId="11">
      <calculatedColumnFormula>Table27[[#This Row],[WSM]]^$C$4+Table27[[#This Row],[WPM]]^$C$4+Table27[[#This Row],[WASPAS]]^$C$4+Table27[[#This Row],[TOPSIS]]^$C$4+Table27[[#This Row],[VIKOR]]^$C$4</calculatedColumnFormula>
    </tableColumn>
    <tableColumn id="9" xr3:uid="{E5CEB718-880C-4F61-889F-61C5BB882653}" name="WASPAS1" dataDxfId="10">
      <calculatedColumnFormula>SUM(Table27[[#This Row],[WSM1]:[WPM1]]) * $H$4</calculatedColumnFormula>
    </tableColumn>
    <tableColumn id="10" xr3:uid="{E04DB0B8-CD65-4268-909B-CAE49150C7BF}" name="RANK" dataDxfId="9">
      <calculatedColumnFormula>RANK(Table27[[#This Row],[WASPAS1]],Table27[WASPAS1],1)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1DF98CEB-DFB9-469C-AFED-6E7FE79D7712}" name="Table28" displayName="Table28" ref="B16:K21" totalsRowShown="0">
  <autoFilter ref="B16:K21" xr:uid="{1DF98CEB-DFB9-469C-AFED-6E7FE79D7712}"/>
  <tableColumns count="10">
    <tableColumn id="1" xr3:uid="{3282ACFA-8585-4423-94E8-3BE75A654282}" name="Attribute/ Criteria">
      <calculatedColumnFormula>'Main Sheet'!B4</calculatedColumnFormula>
    </tableColumn>
    <tableColumn id="2" xr3:uid="{8571C6F7-09EC-4F89-A8A5-F19D024473C9}" name="WSM" dataDxfId="8">
      <calculatedColumnFormula>WSM!O15</calculatedColumnFormula>
    </tableColumn>
    <tableColumn id="3" xr3:uid="{2AFA0D98-94F7-4538-81C2-C9A2769035AA}" name="WPM" dataDxfId="7">
      <calculatedColumnFormula>WPM!O15</calculatedColumnFormula>
    </tableColumn>
    <tableColumn id="4" xr3:uid="{2E1E4173-3EB6-4367-8BD8-138B74871C93}" name="WASPAS" dataDxfId="6">
      <calculatedColumnFormula>WASPAS!M15</calculatedColumnFormula>
    </tableColumn>
    <tableColumn id="5" xr3:uid="{F6AB65D0-852C-4C5F-B9E2-6B9C710D3208}" name="TOPSIS" dataDxfId="5">
      <calculatedColumnFormula>TOPSIS!Q21</calculatedColumnFormula>
    </tableColumn>
    <tableColumn id="6" xr3:uid="{4A157D2A-FA65-44B2-95D8-04BF73F51858}" name="VIKOR" dataDxfId="4">
      <calculatedColumnFormula>VIKOR!R21</calculatedColumnFormula>
    </tableColumn>
    <tableColumn id="7" xr3:uid="{2F7916F1-4666-4FF1-BA82-A4A298E5AAFD}" name="WSM1" dataDxfId="3">
      <calculatedColumnFormula>SUBTOTAL(9,Table28[[#This Row],[WSM]:[VIKOR]])*$C$4</calculatedColumnFormula>
    </tableColumn>
    <tableColumn id="8" xr3:uid="{E2132474-1E56-40E9-BD22-35E5914DB959}" name="WPM1" dataDxfId="2">
      <calculatedColumnFormula>Table28[[#This Row],[WSM]]^$C$4+Table28[[#This Row],[WPM]]^$C$4+Table28[[#This Row],[WASPAS]]^$C$4+Table28[[#This Row],[TOPSIS]]^$C$4+Table28[[#This Row],[VIKOR]]^$C$4</calculatedColumnFormula>
    </tableColumn>
    <tableColumn id="9" xr3:uid="{4E879316-1229-4C65-A112-AFFAD921A983}" name="WASPAS1" dataDxfId="1">
      <calculatedColumnFormula>SUM(Table28[[#This Row],[WSM1]:[WPM1]])*$H$4</calculatedColumnFormula>
    </tableColumn>
    <tableColumn id="10" xr3:uid="{908CA853-9B5D-4DAE-82E3-BA452AEAE73F}" name="RANK" dataDxfId="0">
      <calculatedColumnFormula>RANK(Table28[[#This Row],[WASPAS1]],Table28[WASPAS1],1)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8927A4B3-6D9E-41D3-8FD4-9175DCB66726}" name="Table30" displayName="Table30" ref="K16:L21" totalsRowShown="0">
  <autoFilter ref="K16:L21" xr:uid="{8927A4B3-6D9E-41D3-8FD4-9175DCB66726}"/>
  <tableColumns count="2">
    <tableColumn id="1" xr3:uid="{7DD16D50-5B79-4ECE-B0FB-FC517C6C82EE}" name="Attribute/ Criteria">
      <calculatedColumnFormula>B4</calculatedColumnFormula>
    </tableColumn>
    <tableColumn id="2" xr3:uid="{55BF5CA5-FB62-4BDF-AF3E-C433A0A946A8}" name="Result" dataDxfId="128">
      <calculatedColumnFormula>Table28[[#This Row],[RANK]]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D7D9D8-0839-4F52-9C6B-11CAEAF2931C}" name="Table2" displayName="Table2" ref="B3:F9" totalsRowCount="1">
  <autoFilter ref="B3:F8" xr:uid="{EBD7D9D8-0839-4F52-9C6B-11CAEAF2931C}"/>
  <sortState xmlns:xlrd2="http://schemas.microsoft.com/office/spreadsheetml/2017/richdata2" ref="B4:F8">
    <sortCondition ref="B3:B8"/>
  </sortState>
  <tableColumns count="5">
    <tableColumn id="1" xr3:uid="{C6D51EC7-55F3-47B6-9745-0170B0E16425}" name="Attribute/ Criteria" totalsRowLabel="Max">
      <calculatedColumnFormula>Table1[[#This Row],[Attribute/ Criteria]]</calculatedColumnFormula>
    </tableColumn>
    <tableColumn id="2" xr3:uid="{3C21043C-30AD-4390-9EF2-860575D76EEE}" name="Price" totalsRowFunction="custom">
      <calculatedColumnFormula>Table1[[#This Row],[Price]]</calculatedColumnFormula>
      <totalsRowFormula>SUBTOTAL(4,Table2[Price])</totalsRowFormula>
    </tableColumn>
    <tableColumn id="3" xr3:uid="{B568445C-0CDA-4419-8325-F853A8BE2407}" name="RAM" totalsRowFunction="max">
      <calculatedColumnFormula>Table1[[#This Row],[RAM]]</calculatedColumnFormula>
    </tableColumn>
    <tableColumn id="4" xr3:uid="{3EF82601-EC05-4495-8B9B-E2C7060C8DDB}" name="Camera" totalsRowFunction="max">
      <calculatedColumnFormula>Table1[[#This Row],[Camera]]</calculatedColumnFormula>
    </tableColumn>
    <tableColumn id="5" xr3:uid="{384FDBAC-0D16-4593-BED5-5D3A87B7FACD}" name="Look" totalsRowFunction="max" dataDxfId="127" totalsRowDxfId="126">
      <calculatedColumnFormula>Table1[[#This Row],[Look]]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0E882D-6579-473F-A274-58A59A7C1274}" name="Table3" displayName="Table3" ref="B12:F18" totalsRowCount="1">
  <autoFilter ref="B12:F17" xr:uid="{B70E882D-6579-473F-A274-58A59A7C1274}"/>
  <tableColumns count="5">
    <tableColumn id="1" xr3:uid="{33E4090F-62AD-4B24-B7E8-2DBF27D4DE66}" name="Attribute/ Criteria" totalsRowLabel="Min" dataDxfId="125" totalsRowDxfId="124">
      <calculatedColumnFormula>B4</calculatedColumnFormula>
    </tableColumn>
    <tableColumn id="2" xr3:uid="{45614C84-8C97-4D83-997A-8FE5F651C7FA}" name="Price" totalsRowFunction="custom" dataDxfId="123" totalsRowDxfId="122">
      <calculatedColumnFormula>C4</calculatedColumnFormula>
      <totalsRowFormula>SUBTOTAL(5,Table3[Price])</totalsRowFormula>
    </tableColumn>
    <tableColumn id="3" xr3:uid="{598FD821-ADB7-4194-9D3A-739FA3223D75}" name="RAM" totalsRowFunction="min" dataDxfId="121" totalsRowDxfId="120">
      <calculatedColumnFormula>D4</calculatedColumnFormula>
    </tableColumn>
    <tableColumn id="4" xr3:uid="{7C552690-0BE6-443F-9E85-DF7C805B89E3}" name="Camera" totalsRowFunction="min" dataDxfId="119" totalsRowDxfId="118">
      <calculatedColumnFormula>E4</calculatedColumnFormula>
    </tableColumn>
    <tableColumn id="5" xr3:uid="{79C6E2C2-840B-4912-B2E5-289E0C8B5B8E}" name="Look" totalsRowFunction="min" dataDxfId="117" totalsRowDxfId="116">
      <calculatedColumnFormula>F4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9E01AE-FC2A-4BD6-9EEE-A67831402B01}" name="Table4" displayName="Table4" ref="J3:N8" totalsRowShown="0">
  <autoFilter ref="J3:N8" xr:uid="{C19E01AE-FC2A-4BD6-9EEE-A67831402B01}"/>
  <tableColumns count="5">
    <tableColumn id="1" xr3:uid="{6AD15CBF-A02C-4E61-BB8B-02BED9481B63}" name="Attribute/ Criteria">
      <calculatedColumnFormula>Table2[[#This Row],[Attribute/ Criteria]]</calculatedColumnFormula>
    </tableColumn>
    <tableColumn id="2" xr3:uid="{3A080297-B847-4113-8AC2-92648394674F}" name="Price" dataDxfId="115">
      <calculatedColumnFormula>Table3[[#Totals],[Price]]/Table2[[#This Row],[Price]]</calculatedColumnFormula>
    </tableColumn>
    <tableColumn id="3" xr3:uid="{9562A43C-6906-4D23-9169-75465430C618}" name="RAM" dataDxfId="114">
      <calculatedColumnFormula>Table3[[#Totals],[RAM]]/Table2[[#This Row],[RAM]]</calculatedColumnFormula>
    </tableColumn>
    <tableColumn id="4" xr3:uid="{868C23DF-DD54-4A95-A517-C92F0C58664B}" name="Camera" dataDxfId="113">
      <calculatedColumnFormula>Table3[[#Totals],[Camera]]/Table2[[#This Row],[Camera]]</calculatedColumnFormula>
    </tableColumn>
    <tableColumn id="5" xr3:uid="{03668D45-A540-468E-9B18-AB7FF9758A32}" name="Look" dataDxfId="112">
      <calculatedColumnFormula>Table3[[#Totals],[Look]]/Table2[[#This Row],[Look]]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4A69E86-D9AC-4758-9719-45BF55FDF175}" name="Table5" displayName="Table5" ref="J12:N17" totalsRowShown="0">
  <autoFilter ref="J12:N17" xr:uid="{14A69E86-D9AC-4758-9719-45BF55FDF175}"/>
  <tableColumns count="5">
    <tableColumn id="1" xr3:uid="{6D9DE500-C9C3-49D9-9F82-2DEA2A3F2D30}" name="Attribute/ Criteria">
      <calculatedColumnFormula>B4</calculatedColumnFormula>
    </tableColumn>
    <tableColumn id="2" xr3:uid="{FB95C070-D7CD-4061-88DB-4503428C6573}" name="Price" dataDxfId="111">
      <calculatedColumnFormula>C4/Table2[[#Totals],[Price]]</calculatedColumnFormula>
    </tableColumn>
    <tableColumn id="3" xr3:uid="{3FEC8CCB-B406-42E8-A0A5-AD265241FAB2}" name="RAM" dataDxfId="110">
      <calculatedColumnFormula>D4/Table2[[#Totals],[RAM]]</calculatedColumnFormula>
    </tableColumn>
    <tableColumn id="4" xr3:uid="{297102D2-F9E9-4840-9A3C-C0E2D57D5E6D}" name="Camera" dataDxfId="109">
      <calculatedColumnFormula>E4/Table2[[#Totals],[Camera]]</calculatedColumnFormula>
    </tableColumn>
    <tableColumn id="5" xr3:uid="{EE44F332-ED8B-4CC0-AB9E-E94C0CA50909}" name="Look" dataDxfId="108">
      <calculatedColumnFormula>F4/Table2[[#Totals],[Look]]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D89993B-409B-43D1-AFB1-C5676BA51A9C}" name="Table6" displayName="Table6" ref="B3:F9" totalsRowCount="1">
  <autoFilter ref="B3:F8" xr:uid="{9D89993B-409B-43D1-AFB1-C5676BA51A9C}"/>
  <tableColumns count="5">
    <tableColumn id="1" xr3:uid="{DA6442A9-998E-460B-9FC2-694F86D2D9F4}" name="Atribute/ Criteria" totalsRowLabel="SUM">
      <calculatedColumnFormula>Table1[[#This Row],[Attribute/ Criteria]]</calculatedColumnFormula>
    </tableColumn>
    <tableColumn id="2" xr3:uid="{C0ACE502-52E0-478B-8B01-C4D63675DFA8}" name="Price" totalsRowFunction="custom">
      <calculatedColumnFormula>Table1[[#This Row],[Price]]</calculatedColumnFormula>
      <totalsRowFormula>SUBTOTAL(9,Table6[Price])</totalsRowFormula>
    </tableColumn>
    <tableColumn id="3" xr3:uid="{4DE4F1C9-7D74-43A0-940D-6093B28DE7CB}" name="RAM" totalsRowFunction="sum">
      <calculatedColumnFormula>Table1[[#This Row],[RAM]]</calculatedColumnFormula>
    </tableColumn>
    <tableColumn id="4" xr3:uid="{68AE1161-4FDD-49DA-90EC-3D29A08303A4}" name="Camera" totalsRowFunction="sum">
      <calculatedColumnFormula>Table1[[#This Row],[Camera]]</calculatedColumnFormula>
    </tableColumn>
    <tableColumn id="5" xr3:uid="{37BCC9ED-71D1-4A92-B633-6083998F48FE}" name="Looks" totalsRowFunction="sum" dataDxfId="107" totalsRowDxfId="106">
      <calculatedColumnFormula>Table1[[#This Row],[Look]]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BCBEC27-5660-478A-96F9-6A77F668F48A}" name="Table8" displayName="Table8" ref="K3:O8" totalsRowShown="0">
  <autoFilter ref="K3:O8" xr:uid="{1BCBEC27-5660-478A-96F9-6A77F668F48A}"/>
  <tableColumns count="5">
    <tableColumn id="1" xr3:uid="{5506EE44-7064-42F3-9045-8A2B477D0A39}" name="Attribute/ Criteria">
      <calculatedColumnFormula>Table6[[#This Row],[Atribute/ Criteria]]</calculatedColumnFormula>
    </tableColumn>
    <tableColumn id="2" xr3:uid="{EE73A03F-BAF6-4AD3-97FC-B8D9D19BFB31}" name="Price" dataDxfId="105">
      <calculatedColumnFormula>Table6[[#This Row],[Price]]/Table6[[#Totals],[Price]]</calculatedColumnFormula>
    </tableColumn>
    <tableColumn id="3" xr3:uid="{D1C8B65F-0570-4644-950C-2D92EFE0A3FF}" name="RAM" dataDxfId="104">
      <calculatedColumnFormula>Table6[[#This Row],[RAM]]/Table6[[#Totals],[RAM]]</calculatedColumnFormula>
    </tableColumn>
    <tableColumn id="4" xr3:uid="{8FF42D1A-09D4-4978-B90D-CD336258EC03}" name="Camera" dataDxfId="103">
      <calculatedColumnFormula>Table6[[#This Row],[Camera]]/Table6[[#Totals],[Camera]]</calculatedColumnFormula>
    </tableColumn>
    <tableColumn id="5" xr3:uid="{409010BF-EDF4-411F-BAE7-DE7CADDA1BF0}" name="Looks" dataDxfId="102">
      <calculatedColumnFormula>Table6[[#This Row],[Looks]]/Table6[[#Totals],[Looks]]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table" Target="../tables/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70404-A2C1-4BC8-B19D-B29C93C5E66F}">
  <dimension ref="B2:L21"/>
  <sheetViews>
    <sheetView tabSelected="1" zoomScale="133" workbookViewId="0">
      <selection activeCell="C3" sqref="C3"/>
    </sheetView>
  </sheetViews>
  <sheetFormatPr defaultRowHeight="14.4" x14ac:dyDescent="0.3"/>
  <cols>
    <col min="2" max="2" width="20" bestFit="1" customWidth="1"/>
    <col min="4" max="5" width="9.33203125" customWidth="1"/>
    <col min="11" max="11" width="17.77734375" customWidth="1"/>
  </cols>
  <sheetData>
    <row r="2" spans="2:12" x14ac:dyDescent="0.3">
      <c r="C2" s="1" t="s">
        <v>31</v>
      </c>
      <c r="D2" s="1" t="s">
        <v>24</v>
      </c>
      <c r="E2" s="1" t="s">
        <v>24</v>
      </c>
      <c r="F2" s="1" t="s">
        <v>24</v>
      </c>
      <c r="G2" s="1" t="s">
        <v>24</v>
      </c>
      <c r="K2" s="1" t="s">
        <v>63</v>
      </c>
    </row>
    <row r="3" spans="2:12" x14ac:dyDescent="0.3">
      <c r="B3" t="s">
        <v>43</v>
      </c>
      <c r="C3" t="s">
        <v>0</v>
      </c>
      <c r="D3" t="s">
        <v>22</v>
      </c>
      <c r="E3" t="s">
        <v>2</v>
      </c>
      <c r="F3" t="s">
        <v>3</v>
      </c>
      <c r="G3" t="s">
        <v>25</v>
      </c>
    </row>
    <row r="4" spans="2:12" x14ac:dyDescent="0.3">
      <c r="B4" t="s">
        <v>4</v>
      </c>
      <c r="C4">
        <v>400</v>
      </c>
      <c r="D4">
        <v>16</v>
      </c>
      <c r="E4">
        <v>25</v>
      </c>
      <c r="F4" t="s">
        <v>23</v>
      </c>
      <c r="G4">
        <f>VLOOKUP(Table1[[#This Row],[Looks]],$B$15:$C$21,2,FALSE)</f>
        <v>2</v>
      </c>
      <c r="K4" s="1" t="s">
        <v>40</v>
      </c>
    </row>
    <row r="5" spans="2:12" x14ac:dyDescent="0.3">
      <c r="B5" t="s">
        <v>5</v>
      </c>
      <c r="C5">
        <v>350</v>
      </c>
      <c r="D5">
        <v>32</v>
      </c>
      <c r="E5">
        <v>40</v>
      </c>
      <c r="F5" t="s">
        <v>9</v>
      </c>
      <c r="G5">
        <f>VLOOKUP(Table1[[#This Row],[Looks]],$B$15:$C$21,2,FALSE)</f>
        <v>3</v>
      </c>
    </row>
    <row r="6" spans="2:12" x14ac:dyDescent="0.3">
      <c r="B6" t="s">
        <v>6</v>
      </c>
      <c r="C6">
        <v>200</v>
      </c>
      <c r="D6">
        <v>16</v>
      </c>
      <c r="E6">
        <v>30</v>
      </c>
      <c r="F6" t="s">
        <v>23</v>
      </c>
      <c r="G6">
        <f>VLOOKUP(Table1[[#This Row],[Looks]],$B$15:$C$21,2,FALSE)</f>
        <v>2</v>
      </c>
      <c r="K6" t="s">
        <v>43</v>
      </c>
      <c r="L6" t="s">
        <v>64</v>
      </c>
    </row>
    <row r="7" spans="2:12" x14ac:dyDescent="0.3">
      <c r="B7" t="s">
        <v>7</v>
      </c>
      <c r="C7">
        <v>500</v>
      </c>
      <c r="D7">
        <v>32</v>
      </c>
      <c r="E7">
        <v>60</v>
      </c>
      <c r="F7" t="s">
        <v>11</v>
      </c>
      <c r="G7">
        <f>VLOOKUP(Table1[[#This Row],[Looks]],$B$15:$C$21,2,FALSE)</f>
        <v>5</v>
      </c>
      <c r="K7" t="str">
        <f>B4</f>
        <v>Mobile 1</v>
      </c>
      <c r="L7">
        <f>'Average of all Methods'!K6</f>
        <v>5</v>
      </c>
    </row>
    <row r="8" spans="2:12" x14ac:dyDescent="0.3">
      <c r="B8" t="s">
        <v>8</v>
      </c>
      <c r="C8">
        <v>300</v>
      </c>
      <c r="D8">
        <v>32</v>
      </c>
      <c r="E8">
        <v>35</v>
      </c>
      <c r="F8" t="s">
        <v>12</v>
      </c>
      <c r="G8">
        <f>VLOOKUP(Table1[[#This Row],[Looks]],$B$15:$C$21,2,FALSE)</f>
        <v>6</v>
      </c>
      <c r="K8" t="str">
        <f t="shared" ref="K8:K10" si="0">B5</f>
        <v>Mobile 2</v>
      </c>
      <c r="L8">
        <f>'Average of all Methods'!K7</f>
        <v>3</v>
      </c>
    </row>
    <row r="9" spans="2:12" x14ac:dyDescent="0.3">
      <c r="K9" t="str">
        <f t="shared" si="0"/>
        <v>Mobile 3</v>
      </c>
      <c r="L9">
        <f>'Average of all Methods'!K8</f>
        <v>4</v>
      </c>
    </row>
    <row r="10" spans="2:12" x14ac:dyDescent="0.3">
      <c r="B10" s="1" t="s">
        <v>28</v>
      </c>
      <c r="C10" s="1" t="s">
        <v>0</v>
      </c>
      <c r="D10" s="1" t="s">
        <v>1</v>
      </c>
      <c r="E10" s="1" t="s">
        <v>2</v>
      </c>
      <c r="F10" s="1" t="s">
        <v>3</v>
      </c>
      <c r="K10" t="str">
        <f t="shared" si="0"/>
        <v>Mobile 4</v>
      </c>
      <c r="L10">
        <f>'Average of all Methods'!K9</f>
        <v>1</v>
      </c>
    </row>
    <row r="11" spans="2:12" x14ac:dyDescent="0.3">
      <c r="B11" t="s">
        <v>29</v>
      </c>
      <c r="C11">
        <v>0.1</v>
      </c>
      <c r="D11">
        <v>0.5</v>
      </c>
      <c r="E11">
        <v>0.3</v>
      </c>
      <c r="F11">
        <v>0.1</v>
      </c>
      <c r="K11" t="str">
        <f>B8</f>
        <v>Mobile 5</v>
      </c>
      <c r="L11">
        <f>'Average of all Methods'!K10</f>
        <v>2</v>
      </c>
    </row>
    <row r="12" spans="2:12" x14ac:dyDescent="0.3">
      <c r="B12" t="s">
        <v>30</v>
      </c>
      <c r="C12">
        <f>Entropy!L20</f>
        <v>0.1752714728095279</v>
      </c>
      <c r="D12">
        <f>Entropy!M20</f>
        <v>0.20782781799048303</v>
      </c>
      <c r="E12">
        <f>Entropy!N20</f>
        <v>0.19788259431075106</v>
      </c>
      <c r="F12">
        <f>Entropy!O20</f>
        <v>0.41901811488923801</v>
      </c>
    </row>
    <row r="14" spans="2:12" x14ac:dyDescent="0.3">
      <c r="B14" s="1" t="s">
        <v>65</v>
      </c>
      <c r="K14" s="1" t="s">
        <v>41</v>
      </c>
    </row>
    <row r="15" spans="2:12" x14ac:dyDescent="0.3">
      <c r="B15" t="s">
        <v>26</v>
      </c>
      <c r="C15">
        <v>7</v>
      </c>
    </row>
    <row r="16" spans="2:12" x14ac:dyDescent="0.3">
      <c r="B16" t="s">
        <v>12</v>
      </c>
      <c r="C16">
        <v>6</v>
      </c>
      <c r="K16" t="s">
        <v>43</v>
      </c>
      <c r="L16" t="s">
        <v>64</v>
      </c>
    </row>
    <row r="17" spans="2:12" x14ac:dyDescent="0.3">
      <c r="B17" t="s">
        <v>11</v>
      </c>
      <c r="C17">
        <v>5</v>
      </c>
      <c r="K17" t="str">
        <f>B4</f>
        <v>Mobile 1</v>
      </c>
      <c r="L17">
        <f>Table28[[#This Row],[RANK]]</f>
        <v>5</v>
      </c>
    </row>
    <row r="18" spans="2:12" x14ac:dyDescent="0.3">
      <c r="B18" t="s">
        <v>10</v>
      </c>
      <c r="C18">
        <v>4</v>
      </c>
      <c r="K18" t="str">
        <f t="shared" ref="K18:K21" si="1">B5</f>
        <v>Mobile 2</v>
      </c>
      <c r="L18">
        <f>Table28[[#This Row],[RANK]]</f>
        <v>3</v>
      </c>
    </row>
    <row r="19" spans="2:12" x14ac:dyDescent="0.3">
      <c r="B19" t="s">
        <v>9</v>
      </c>
      <c r="C19">
        <v>3</v>
      </c>
      <c r="K19" t="str">
        <f t="shared" si="1"/>
        <v>Mobile 3</v>
      </c>
      <c r="L19">
        <f>Table28[[#This Row],[RANK]]</f>
        <v>4</v>
      </c>
    </row>
    <row r="20" spans="2:12" x14ac:dyDescent="0.3">
      <c r="B20" t="s">
        <v>23</v>
      </c>
      <c r="C20">
        <v>2</v>
      </c>
      <c r="K20" t="str">
        <f t="shared" si="1"/>
        <v>Mobile 4</v>
      </c>
      <c r="L20">
        <f>Table28[[#This Row],[RANK]]</f>
        <v>1</v>
      </c>
    </row>
    <row r="21" spans="2:12" x14ac:dyDescent="0.3">
      <c r="B21" t="s">
        <v>27</v>
      </c>
      <c r="C21">
        <v>1</v>
      </c>
      <c r="K21" t="str">
        <f t="shared" si="1"/>
        <v>Mobile 5</v>
      </c>
      <c r="L21">
        <f>Table28[[#This Row],[RANK]]</f>
        <v>2</v>
      </c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EC298-41FA-44EA-A299-21B94D318853}">
  <dimension ref="B2:N18"/>
  <sheetViews>
    <sheetView workbookViewId="0">
      <selection activeCell="J24" sqref="J24"/>
    </sheetView>
  </sheetViews>
  <sheetFormatPr defaultRowHeight="14.4" x14ac:dyDescent="0.3"/>
  <cols>
    <col min="2" max="2" width="18.21875" bestFit="1" customWidth="1"/>
    <col min="5" max="5" width="9.33203125" customWidth="1"/>
    <col min="10" max="10" width="18.21875" bestFit="1" customWidth="1"/>
    <col min="13" max="13" width="9.33203125" customWidth="1"/>
  </cols>
  <sheetData>
    <row r="2" spans="2:14" x14ac:dyDescent="0.3">
      <c r="J2" s="1" t="s">
        <v>31</v>
      </c>
    </row>
    <row r="3" spans="2:14" x14ac:dyDescent="0.3">
      <c r="B3" t="s">
        <v>43</v>
      </c>
      <c r="C3" t="s">
        <v>0</v>
      </c>
      <c r="D3" t="s">
        <v>22</v>
      </c>
      <c r="E3" t="s">
        <v>2</v>
      </c>
      <c r="F3" t="s">
        <v>25</v>
      </c>
      <c r="J3" t="s">
        <v>43</v>
      </c>
      <c r="K3" t="s">
        <v>0</v>
      </c>
      <c r="L3" t="s">
        <v>22</v>
      </c>
      <c r="M3" t="s">
        <v>2</v>
      </c>
      <c r="N3" t="s">
        <v>25</v>
      </c>
    </row>
    <row r="4" spans="2:14" x14ac:dyDescent="0.3">
      <c r="B4" t="str">
        <f>Table1[[#This Row],[Attribute/ Criteria]]</f>
        <v>Mobile 1</v>
      </c>
      <c r="C4">
        <f>Table1[[#This Row],[Price]]</f>
        <v>400</v>
      </c>
      <c r="D4">
        <f>Table1[[#This Row],[RAM]]</f>
        <v>16</v>
      </c>
      <c r="E4">
        <f>Table1[[#This Row],[Camera]]</f>
        <v>25</v>
      </c>
      <c r="F4">
        <f>Table1[[#This Row],[Look]]</f>
        <v>2</v>
      </c>
      <c r="J4" t="str">
        <f>Table2[[#This Row],[Attribute/ Criteria]]</f>
        <v>Mobile 1</v>
      </c>
      <c r="K4">
        <f>Table3[[#Totals],[Price]]/Table2[[#This Row],[Price]]</f>
        <v>0.5</v>
      </c>
      <c r="L4">
        <f>Table3[[#Totals],[RAM]]/Table2[[#This Row],[RAM]]</f>
        <v>1</v>
      </c>
      <c r="M4">
        <f>Table3[[#Totals],[Camera]]/Table2[[#This Row],[Camera]]</f>
        <v>1</v>
      </c>
      <c r="N4">
        <f>Table3[[#Totals],[Look]]/Table2[[#This Row],[Look]]</f>
        <v>1</v>
      </c>
    </row>
    <row r="5" spans="2:14" x14ac:dyDescent="0.3">
      <c r="B5" t="str">
        <f>Table1[[#This Row],[Attribute/ Criteria]]</f>
        <v>Mobile 2</v>
      </c>
      <c r="C5">
        <f>Table1[[#This Row],[Price]]</f>
        <v>350</v>
      </c>
      <c r="D5">
        <f>Table1[[#This Row],[RAM]]</f>
        <v>32</v>
      </c>
      <c r="E5">
        <f>Table1[[#This Row],[Camera]]</f>
        <v>40</v>
      </c>
      <c r="F5">
        <f>Table1[[#This Row],[Look]]</f>
        <v>3</v>
      </c>
      <c r="J5" t="str">
        <f>Table2[[#This Row],[Attribute/ Criteria]]</f>
        <v>Mobile 2</v>
      </c>
      <c r="K5">
        <f>Table3[[#Totals],[Price]]/Table2[[#This Row],[Price]]</f>
        <v>0.5714285714285714</v>
      </c>
      <c r="L5">
        <f>Table3[[#Totals],[RAM]]/Table2[[#This Row],[RAM]]</f>
        <v>0.5</v>
      </c>
      <c r="M5">
        <f>Table3[[#Totals],[Camera]]/Table2[[#This Row],[Camera]]</f>
        <v>0.625</v>
      </c>
      <c r="N5">
        <f>Table3[[#Totals],[Look]]/Table2[[#This Row],[Look]]</f>
        <v>0.66666666666666663</v>
      </c>
    </row>
    <row r="6" spans="2:14" x14ac:dyDescent="0.3">
      <c r="B6" t="str">
        <f>Table1[[#This Row],[Attribute/ Criteria]]</f>
        <v>Mobile 3</v>
      </c>
      <c r="C6">
        <f>Table1[[#This Row],[Price]]</f>
        <v>200</v>
      </c>
      <c r="D6">
        <f>Table1[[#This Row],[RAM]]</f>
        <v>16</v>
      </c>
      <c r="E6">
        <f>Table1[[#This Row],[Camera]]</f>
        <v>30</v>
      </c>
      <c r="F6">
        <f>Table1[[#This Row],[Look]]</f>
        <v>2</v>
      </c>
      <c r="J6" t="str">
        <f>Table2[[#This Row],[Attribute/ Criteria]]</f>
        <v>Mobile 3</v>
      </c>
      <c r="K6">
        <f>Table3[[#Totals],[Price]]/Table2[[#This Row],[Price]]</f>
        <v>1</v>
      </c>
      <c r="L6">
        <f>Table3[[#Totals],[RAM]]/Table2[[#This Row],[RAM]]</f>
        <v>1</v>
      </c>
      <c r="M6">
        <f>Table3[[#Totals],[Camera]]/Table2[[#This Row],[Camera]]</f>
        <v>0.83333333333333337</v>
      </c>
      <c r="N6">
        <f>Table3[[#Totals],[Look]]/Table2[[#This Row],[Look]]</f>
        <v>1</v>
      </c>
    </row>
    <row r="7" spans="2:14" x14ac:dyDescent="0.3">
      <c r="B7" t="str">
        <f>Table1[[#This Row],[Attribute/ Criteria]]</f>
        <v>Mobile 4</v>
      </c>
      <c r="C7">
        <f>Table1[[#This Row],[Price]]</f>
        <v>500</v>
      </c>
      <c r="D7">
        <f>Table1[[#This Row],[RAM]]</f>
        <v>32</v>
      </c>
      <c r="E7">
        <f>Table1[[#This Row],[Camera]]</f>
        <v>60</v>
      </c>
      <c r="F7">
        <f>Table1[[#This Row],[Look]]</f>
        <v>5</v>
      </c>
      <c r="J7" t="str">
        <f>Table2[[#This Row],[Attribute/ Criteria]]</f>
        <v>Mobile 4</v>
      </c>
      <c r="K7">
        <f>Table3[[#Totals],[Price]]/Table2[[#This Row],[Price]]</f>
        <v>0.4</v>
      </c>
      <c r="L7">
        <f>Table3[[#Totals],[RAM]]/Table2[[#This Row],[RAM]]</f>
        <v>0.5</v>
      </c>
      <c r="M7">
        <f>Table3[[#Totals],[Camera]]/Table2[[#This Row],[Camera]]</f>
        <v>0.41666666666666669</v>
      </c>
      <c r="N7">
        <f>Table3[[#Totals],[Look]]/Table2[[#This Row],[Look]]</f>
        <v>0.4</v>
      </c>
    </row>
    <row r="8" spans="2:14" x14ac:dyDescent="0.3">
      <c r="B8" t="str">
        <f>Table1[[#This Row],[Attribute/ Criteria]]</f>
        <v>Mobile 5</v>
      </c>
      <c r="C8">
        <f>Table1[[#This Row],[Price]]</f>
        <v>300</v>
      </c>
      <c r="D8">
        <f>Table1[[#This Row],[RAM]]</f>
        <v>32</v>
      </c>
      <c r="E8">
        <f>Table1[[#This Row],[Camera]]</f>
        <v>35</v>
      </c>
      <c r="F8">
        <f>Table1[[#This Row],[Look]]</f>
        <v>6</v>
      </c>
      <c r="J8" t="str">
        <f>Table2[[#This Row],[Attribute/ Criteria]]</f>
        <v>Mobile 5</v>
      </c>
      <c r="K8">
        <f>Table3[[#Totals],[Price]]/Table2[[#This Row],[Price]]</f>
        <v>0.66666666666666663</v>
      </c>
      <c r="L8">
        <f>Table3[[#Totals],[RAM]]/Table2[[#This Row],[RAM]]</f>
        <v>0.5</v>
      </c>
      <c r="M8">
        <f>Table3[[#Totals],[Camera]]/Table2[[#This Row],[Camera]]</f>
        <v>0.7142857142857143</v>
      </c>
      <c r="N8">
        <f>Table3[[#Totals],[Look]]/Table2[[#This Row],[Look]]</f>
        <v>0.33333333333333331</v>
      </c>
    </row>
    <row r="9" spans="2:14" x14ac:dyDescent="0.3">
      <c r="B9" t="s">
        <v>13</v>
      </c>
      <c r="C9">
        <f>SUBTOTAL(4,Table2[Price])</f>
        <v>500</v>
      </c>
      <c r="D9">
        <f>SUBTOTAL(104,Table2[RAM])</f>
        <v>32</v>
      </c>
      <c r="E9">
        <f>SUBTOTAL(104,Table2[Camera])</f>
        <v>60</v>
      </c>
      <c r="F9">
        <f>SUBTOTAL(104,Table2[Look])</f>
        <v>6</v>
      </c>
    </row>
    <row r="11" spans="2:14" x14ac:dyDescent="0.3">
      <c r="J11" s="1" t="s">
        <v>24</v>
      </c>
    </row>
    <row r="12" spans="2:14" x14ac:dyDescent="0.3">
      <c r="B12" t="s">
        <v>43</v>
      </c>
      <c r="C12" t="s">
        <v>0</v>
      </c>
      <c r="D12" t="s">
        <v>22</v>
      </c>
      <c r="E12" t="s">
        <v>2</v>
      </c>
      <c r="F12" t="s">
        <v>25</v>
      </c>
      <c r="J12" t="s">
        <v>43</v>
      </c>
      <c r="K12" t="s">
        <v>0</v>
      </c>
      <c r="L12" t="s">
        <v>22</v>
      </c>
      <c r="M12" t="s">
        <v>2</v>
      </c>
      <c r="N12" t="s">
        <v>25</v>
      </c>
    </row>
    <row r="13" spans="2:14" x14ac:dyDescent="0.3">
      <c r="B13" t="str">
        <f t="shared" ref="B13:B17" si="0">B4</f>
        <v>Mobile 1</v>
      </c>
      <c r="C13">
        <f t="shared" ref="C13:C17" si="1">C4</f>
        <v>400</v>
      </c>
      <c r="D13">
        <f t="shared" ref="D13:D17" si="2">D4</f>
        <v>16</v>
      </c>
      <c r="E13">
        <f t="shared" ref="E13:E17" si="3">E4</f>
        <v>25</v>
      </c>
      <c r="F13">
        <f t="shared" ref="F13:F17" si="4">F4</f>
        <v>2</v>
      </c>
      <c r="J13" t="str">
        <f>B4</f>
        <v>Mobile 1</v>
      </c>
      <c r="K13">
        <f>C4/Table2[[#Totals],[Price]]</f>
        <v>0.8</v>
      </c>
      <c r="L13">
        <f>D4/Table2[[#Totals],[RAM]]</f>
        <v>0.5</v>
      </c>
      <c r="M13">
        <f>E4/Table2[[#Totals],[Camera]]</f>
        <v>0.41666666666666669</v>
      </c>
      <c r="N13">
        <f>F4/Table2[[#Totals],[Look]]</f>
        <v>0.33333333333333331</v>
      </c>
    </row>
    <row r="14" spans="2:14" x14ac:dyDescent="0.3">
      <c r="B14" t="str">
        <f t="shared" si="0"/>
        <v>Mobile 2</v>
      </c>
      <c r="C14">
        <f t="shared" si="1"/>
        <v>350</v>
      </c>
      <c r="D14">
        <f t="shared" si="2"/>
        <v>32</v>
      </c>
      <c r="E14">
        <f t="shared" si="3"/>
        <v>40</v>
      </c>
      <c r="F14">
        <f t="shared" si="4"/>
        <v>3</v>
      </c>
      <c r="J14" t="str">
        <f t="shared" ref="J14:J17" si="5">B5</f>
        <v>Mobile 2</v>
      </c>
      <c r="K14">
        <f>C5/Table2[[#Totals],[Price]]</f>
        <v>0.7</v>
      </c>
      <c r="L14">
        <f>D5/Table2[[#Totals],[RAM]]</f>
        <v>1</v>
      </c>
      <c r="M14">
        <f>E5/Table2[[#Totals],[Camera]]</f>
        <v>0.66666666666666663</v>
      </c>
      <c r="N14">
        <f>F5/Table2[[#Totals],[Look]]</f>
        <v>0.5</v>
      </c>
    </row>
    <row r="15" spans="2:14" x14ac:dyDescent="0.3">
      <c r="B15" t="str">
        <f t="shared" si="0"/>
        <v>Mobile 3</v>
      </c>
      <c r="C15">
        <f t="shared" si="1"/>
        <v>200</v>
      </c>
      <c r="D15">
        <f t="shared" si="2"/>
        <v>16</v>
      </c>
      <c r="E15">
        <f t="shared" si="3"/>
        <v>30</v>
      </c>
      <c r="F15">
        <f t="shared" si="4"/>
        <v>2</v>
      </c>
      <c r="J15" t="str">
        <f t="shared" si="5"/>
        <v>Mobile 3</v>
      </c>
      <c r="K15">
        <f>C6/Table2[[#Totals],[Price]]</f>
        <v>0.4</v>
      </c>
      <c r="L15">
        <f>D6/Table2[[#Totals],[RAM]]</f>
        <v>0.5</v>
      </c>
      <c r="M15">
        <f>E6/Table2[[#Totals],[Camera]]</f>
        <v>0.5</v>
      </c>
      <c r="N15">
        <f>F6/Table2[[#Totals],[Look]]</f>
        <v>0.33333333333333331</v>
      </c>
    </row>
    <row r="16" spans="2:14" x14ac:dyDescent="0.3">
      <c r="B16" t="str">
        <f t="shared" si="0"/>
        <v>Mobile 4</v>
      </c>
      <c r="C16">
        <f t="shared" si="1"/>
        <v>500</v>
      </c>
      <c r="D16">
        <f t="shared" si="2"/>
        <v>32</v>
      </c>
      <c r="E16">
        <f t="shared" si="3"/>
        <v>60</v>
      </c>
      <c r="F16">
        <f t="shared" si="4"/>
        <v>5</v>
      </c>
      <c r="J16" t="str">
        <f t="shared" si="5"/>
        <v>Mobile 4</v>
      </c>
      <c r="K16">
        <f>C7/Table2[[#Totals],[Price]]</f>
        <v>1</v>
      </c>
      <c r="L16">
        <f>D7/Table2[[#Totals],[RAM]]</f>
        <v>1</v>
      </c>
      <c r="M16">
        <f>E7/Table2[[#Totals],[Camera]]</f>
        <v>1</v>
      </c>
      <c r="N16">
        <f>F7/Table2[[#Totals],[Look]]</f>
        <v>0.83333333333333337</v>
      </c>
    </row>
    <row r="17" spans="2:14" x14ac:dyDescent="0.3">
      <c r="B17" t="str">
        <f t="shared" si="0"/>
        <v>Mobile 5</v>
      </c>
      <c r="C17">
        <f t="shared" si="1"/>
        <v>300</v>
      </c>
      <c r="D17">
        <f t="shared" si="2"/>
        <v>32</v>
      </c>
      <c r="E17">
        <f t="shared" si="3"/>
        <v>35</v>
      </c>
      <c r="F17">
        <f t="shared" si="4"/>
        <v>6</v>
      </c>
      <c r="J17" t="str">
        <f t="shared" si="5"/>
        <v>Mobile 5</v>
      </c>
      <c r="K17">
        <f>C8/Table2[[#Totals],[Price]]</f>
        <v>0.6</v>
      </c>
      <c r="L17">
        <f>D8/Table2[[#Totals],[RAM]]</f>
        <v>1</v>
      </c>
      <c r="M17">
        <f>E8/Table2[[#Totals],[Camera]]</f>
        <v>0.58333333333333337</v>
      </c>
      <c r="N17">
        <f>F8/Table2[[#Totals],[Look]]</f>
        <v>1</v>
      </c>
    </row>
    <row r="18" spans="2:14" x14ac:dyDescent="0.3">
      <c r="B18" t="s">
        <v>14</v>
      </c>
      <c r="C18">
        <f>SUBTOTAL(5,Table3[Price])</f>
        <v>200</v>
      </c>
      <c r="D18">
        <f>SUBTOTAL(105,Table3[RAM])</f>
        <v>16</v>
      </c>
      <c r="E18">
        <f>SUBTOTAL(105,Table3[Camera])</f>
        <v>25</v>
      </c>
      <c r="F18">
        <f>SUBTOTAL(105,Table3[Look])</f>
        <v>2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09F77-B09A-4459-8AE0-F01331F8F04E}">
  <dimension ref="B3:Q20"/>
  <sheetViews>
    <sheetView workbookViewId="0">
      <selection activeCell="L4" sqref="L4"/>
    </sheetView>
  </sheetViews>
  <sheetFormatPr defaultRowHeight="14.4" x14ac:dyDescent="0.3"/>
  <cols>
    <col min="2" max="2" width="17.109375" customWidth="1"/>
    <col min="5" max="5" width="9.33203125" customWidth="1"/>
    <col min="11" max="11" width="18.21875" bestFit="1" customWidth="1"/>
    <col min="14" max="14" width="9.33203125" customWidth="1"/>
  </cols>
  <sheetData>
    <row r="3" spans="2:15" x14ac:dyDescent="0.3">
      <c r="B3" t="s">
        <v>21</v>
      </c>
      <c r="C3" t="s">
        <v>0</v>
      </c>
      <c r="D3" t="s">
        <v>22</v>
      </c>
      <c r="E3" t="s">
        <v>2</v>
      </c>
      <c r="F3" t="s">
        <v>3</v>
      </c>
      <c r="H3" t="s">
        <v>33</v>
      </c>
      <c r="I3">
        <f>SUBTOTAL(2,Table6[Price])</f>
        <v>5</v>
      </c>
      <c r="K3" t="s">
        <v>43</v>
      </c>
      <c r="L3" t="s">
        <v>0</v>
      </c>
      <c r="M3" t="s">
        <v>22</v>
      </c>
      <c r="N3" t="s">
        <v>2</v>
      </c>
      <c r="O3" t="s">
        <v>3</v>
      </c>
    </row>
    <row r="4" spans="2:15" x14ac:dyDescent="0.3">
      <c r="B4" t="str">
        <f>Table1[[#This Row],[Attribute/ Criteria]]</f>
        <v>Mobile 1</v>
      </c>
      <c r="C4">
        <f>Table1[[#This Row],[Price]]</f>
        <v>400</v>
      </c>
      <c r="D4">
        <f>Table1[[#This Row],[RAM]]</f>
        <v>16</v>
      </c>
      <c r="E4">
        <f>Table1[[#This Row],[Camera]]</f>
        <v>25</v>
      </c>
      <c r="F4">
        <f>Table1[[#This Row],[Look]]</f>
        <v>2</v>
      </c>
      <c r="H4" t="s">
        <v>34</v>
      </c>
      <c r="I4">
        <f>-(1 / LN(I3))</f>
        <v>-0.62133493455961186</v>
      </c>
      <c r="K4" t="str">
        <f>Table6[[#This Row],[Atribute/ Criteria]]</f>
        <v>Mobile 1</v>
      </c>
      <c r="L4">
        <f>Table6[[#This Row],[Price]]/Table6[[#Totals],[Price]]</f>
        <v>0.22857142857142856</v>
      </c>
      <c r="M4">
        <f>Table6[[#This Row],[RAM]]/Table6[[#Totals],[RAM]]</f>
        <v>0.125</v>
      </c>
      <c r="N4">
        <f>Table6[[#This Row],[Camera]]/Table6[[#Totals],[Camera]]</f>
        <v>0.13157894736842105</v>
      </c>
      <c r="O4">
        <f>Table6[[#This Row],[Looks]]/Table6[[#Totals],[Looks]]</f>
        <v>0.1111111111111111</v>
      </c>
    </row>
    <row r="5" spans="2:15" x14ac:dyDescent="0.3">
      <c r="B5" t="str">
        <f>Table1[[#This Row],[Attribute/ Criteria]]</f>
        <v>Mobile 2</v>
      </c>
      <c r="C5">
        <f>Table1[[#This Row],[Price]]</f>
        <v>350</v>
      </c>
      <c r="D5">
        <f>Table1[[#This Row],[RAM]]</f>
        <v>32</v>
      </c>
      <c r="E5">
        <f>Table1[[#This Row],[Camera]]</f>
        <v>40</v>
      </c>
      <c r="F5">
        <f>Table1[[#This Row],[Look]]</f>
        <v>3</v>
      </c>
      <c r="K5" t="str">
        <f>Table6[[#This Row],[Atribute/ Criteria]]</f>
        <v>Mobile 2</v>
      </c>
      <c r="L5">
        <f>Table6[[#This Row],[Price]]/Table6[[#Totals],[Price]]</f>
        <v>0.2</v>
      </c>
      <c r="M5">
        <f>Table6[[#This Row],[RAM]]/Table6[[#Totals],[RAM]]</f>
        <v>0.25</v>
      </c>
      <c r="N5">
        <f>Table6[[#This Row],[Camera]]/Table6[[#Totals],[Camera]]</f>
        <v>0.21052631578947367</v>
      </c>
      <c r="O5">
        <f>Table6[[#This Row],[Looks]]/Table6[[#Totals],[Looks]]</f>
        <v>0.16666666666666666</v>
      </c>
    </row>
    <row r="6" spans="2:15" x14ac:dyDescent="0.3">
      <c r="B6" t="str">
        <f>Table1[[#This Row],[Attribute/ Criteria]]</f>
        <v>Mobile 3</v>
      </c>
      <c r="C6">
        <f>Table1[[#This Row],[Price]]</f>
        <v>200</v>
      </c>
      <c r="D6">
        <f>Table1[[#This Row],[RAM]]</f>
        <v>16</v>
      </c>
      <c r="E6">
        <f>Table1[[#This Row],[Camera]]</f>
        <v>30</v>
      </c>
      <c r="F6">
        <f>Table1[[#This Row],[Look]]</f>
        <v>2</v>
      </c>
      <c r="K6" t="str">
        <f>Table6[[#This Row],[Atribute/ Criteria]]</f>
        <v>Mobile 3</v>
      </c>
      <c r="L6">
        <f>Table6[[#This Row],[Price]]/Table6[[#Totals],[Price]]</f>
        <v>0.11428571428571428</v>
      </c>
      <c r="M6">
        <f>Table6[[#This Row],[RAM]]/Table6[[#Totals],[RAM]]</f>
        <v>0.125</v>
      </c>
      <c r="N6">
        <f>Table6[[#This Row],[Camera]]/Table6[[#Totals],[Camera]]</f>
        <v>0.15789473684210525</v>
      </c>
      <c r="O6">
        <f>Table6[[#This Row],[Looks]]/Table6[[#Totals],[Looks]]</f>
        <v>0.1111111111111111</v>
      </c>
    </row>
    <row r="7" spans="2:15" x14ac:dyDescent="0.3">
      <c r="B7" t="str">
        <f>Table1[[#This Row],[Attribute/ Criteria]]</f>
        <v>Mobile 4</v>
      </c>
      <c r="C7">
        <f>Table1[[#This Row],[Price]]</f>
        <v>500</v>
      </c>
      <c r="D7">
        <f>Table1[[#This Row],[RAM]]</f>
        <v>32</v>
      </c>
      <c r="E7">
        <f>Table1[[#This Row],[Camera]]</f>
        <v>60</v>
      </c>
      <c r="F7">
        <f>Table1[[#This Row],[Look]]</f>
        <v>5</v>
      </c>
      <c r="K7" t="str">
        <f>Table6[[#This Row],[Atribute/ Criteria]]</f>
        <v>Mobile 4</v>
      </c>
      <c r="L7">
        <f>Table6[[#This Row],[Price]]/Table6[[#Totals],[Price]]</f>
        <v>0.2857142857142857</v>
      </c>
      <c r="M7">
        <f>Table6[[#This Row],[RAM]]/Table6[[#Totals],[RAM]]</f>
        <v>0.25</v>
      </c>
      <c r="N7">
        <f>Table6[[#This Row],[Camera]]/Table6[[#Totals],[Camera]]</f>
        <v>0.31578947368421051</v>
      </c>
      <c r="O7">
        <f>Table6[[#This Row],[Looks]]/Table6[[#Totals],[Looks]]</f>
        <v>0.27777777777777779</v>
      </c>
    </row>
    <row r="8" spans="2:15" x14ac:dyDescent="0.3">
      <c r="B8" t="str">
        <f>Table1[[#This Row],[Attribute/ Criteria]]</f>
        <v>Mobile 5</v>
      </c>
      <c r="C8">
        <f>Table1[[#This Row],[Price]]</f>
        <v>300</v>
      </c>
      <c r="D8">
        <f>Table1[[#This Row],[RAM]]</f>
        <v>32</v>
      </c>
      <c r="E8">
        <f>Table1[[#This Row],[Camera]]</f>
        <v>35</v>
      </c>
      <c r="F8">
        <f>Table1[[#This Row],[Look]]</f>
        <v>6</v>
      </c>
      <c r="K8" t="str">
        <f>Table6[[#This Row],[Atribute/ Criteria]]</f>
        <v>Mobile 5</v>
      </c>
      <c r="L8">
        <f>Table6[[#This Row],[Price]]/Table6[[#Totals],[Price]]</f>
        <v>0.17142857142857143</v>
      </c>
      <c r="M8">
        <f>Table6[[#This Row],[RAM]]/Table6[[#Totals],[RAM]]</f>
        <v>0.25</v>
      </c>
      <c r="N8">
        <f>Table6[[#This Row],[Camera]]/Table6[[#Totals],[Camera]]</f>
        <v>0.18421052631578946</v>
      </c>
      <c r="O8">
        <f>Table6[[#This Row],[Looks]]/Table6[[#Totals],[Looks]]</f>
        <v>0.33333333333333331</v>
      </c>
    </row>
    <row r="9" spans="2:15" x14ac:dyDescent="0.3">
      <c r="B9" t="s">
        <v>32</v>
      </c>
      <c r="C9">
        <f>SUBTOTAL(9,Table6[Price])</f>
        <v>1750</v>
      </c>
      <c r="D9">
        <f>SUBTOTAL(109,Table6[RAM])</f>
        <v>128</v>
      </c>
      <c r="E9">
        <f>SUBTOTAL(109,Table6[Camera])</f>
        <v>190</v>
      </c>
      <c r="F9">
        <f>SUBTOTAL(109,Table6[Looks])</f>
        <v>18</v>
      </c>
    </row>
    <row r="11" spans="2:15" x14ac:dyDescent="0.3">
      <c r="K11" t="s">
        <v>43</v>
      </c>
      <c r="L11" t="s">
        <v>0</v>
      </c>
      <c r="M11" t="s">
        <v>22</v>
      </c>
      <c r="N11" t="s">
        <v>2</v>
      </c>
      <c r="O11" t="s">
        <v>3</v>
      </c>
    </row>
    <row r="12" spans="2:15" x14ac:dyDescent="0.3">
      <c r="K12" t="str">
        <f>B4</f>
        <v>Mobile 1</v>
      </c>
      <c r="L12">
        <f t="shared" ref="L12:O16" si="0">L4*LN(L4)</f>
        <v>-0.33735006167076065</v>
      </c>
      <c r="M12">
        <f t="shared" ref="M12:M16" si="1">M4*LN(M4)</f>
        <v>-0.25993019270997947</v>
      </c>
      <c r="N12">
        <f t="shared" ref="N12:O16" si="2">N4*LN(N4)</f>
        <v>-0.26686161148582704</v>
      </c>
      <c r="O12">
        <f t="shared" si="0"/>
        <v>-0.24413606414846883</v>
      </c>
    </row>
    <row r="13" spans="2:15" x14ac:dyDescent="0.3">
      <c r="K13" t="str">
        <f t="shared" ref="K13:K16" si="3">B5</f>
        <v>Mobile 2</v>
      </c>
      <c r="L13">
        <f t="shared" si="0"/>
        <v>-0.32188758248682009</v>
      </c>
      <c r="M13">
        <f t="shared" si="1"/>
        <v>-0.34657359027997264</v>
      </c>
      <c r="N13">
        <f t="shared" si="2"/>
        <v>-0.32803044590453678</v>
      </c>
      <c r="O13">
        <f t="shared" si="2"/>
        <v>-0.29862657820467581</v>
      </c>
    </row>
    <row r="14" spans="2:15" x14ac:dyDescent="0.3">
      <c r="K14" t="str">
        <f t="shared" si="3"/>
        <v>Mobile 3</v>
      </c>
      <c r="L14">
        <f t="shared" si="0"/>
        <v>-0.24789185147080264</v>
      </c>
      <c r="M14">
        <f t="shared" si="1"/>
        <v>-0.25993019270997947</v>
      </c>
      <c r="N14">
        <f t="shared" si="2"/>
        <v>-0.29144631955236805</v>
      </c>
      <c r="O14">
        <f t="shared" si="2"/>
        <v>-0.24413606414846883</v>
      </c>
    </row>
    <row r="15" spans="2:15" x14ac:dyDescent="0.3">
      <c r="K15" t="str">
        <f t="shared" si="3"/>
        <v>Mobile 4</v>
      </c>
      <c r="L15">
        <f t="shared" si="0"/>
        <v>-0.35793227671296229</v>
      </c>
      <c r="M15">
        <f t="shared" si="1"/>
        <v>-0.34657359027997264</v>
      </c>
      <c r="N15">
        <f t="shared" si="2"/>
        <v>-0.36400405577001649</v>
      </c>
      <c r="O15">
        <f t="shared" si="2"/>
        <v>-0.35581495707279565</v>
      </c>
    </row>
    <row r="16" spans="2:15" x14ac:dyDescent="0.3">
      <c r="K16" t="str">
        <f t="shared" si="3"/>
        <v>Mobile 5</v>
      </c>
      <c r="L16">
        <f t="shared" si="0"/>
        <v>-0.30232947295909007</v>
      </c>
      <c r="M16">
        <f t="shared" si="1"/>
        <v>-0.34657359027997264</v>
      </c>
      <c r="N16">
        <f t="shared" si="2"/>
        <v>-0.31162452828151332</v>
      </c>
      <c r="O16">
        <f t="shared" si="2"/>
        <v>-0.36620409622270322</v>
      </c>
    </row>
    <row r="17" spans="11:17" x14ac:dyDescent="0.3">
      <c r="K17" t="s">
        <v>32</v>
      </c>
      <c r="L17">
        <f>SUBTOTAL(9,Table9[Price])</f>
        <v>-1.5673912453004357</v>
      </c>
      <c r="M17">
        <f>SUBTOTAL(109,Table9[RAM])</f>
        <v>-1.5595811562598769</v>
      </c>
      <c r="N17">
        <f>SUBTOTAL(109,Table9[Camera])</f>
        <v>-1.5619669609942615</v>
      </c>
      <c r="O17">
        <f>SUBTOTAL(109,Table9[Looks])</f>
        <v>-1.5089177597971126</v>
      </c>
    </row>
    <row r="18" spans="11:17" x14ac:dyDescent="0.3">
      <c r="K18" s="1" t="s">
        <v>35</v>
      </c>
      <c r="L18">
        <f>Table9[[#Totals],[Price]]*$I$4</f>
        <v>0.97387493682805482</v>
      </c>
      <c r="M18">
        <f>Table9[[#Totals],[RAM]]*$I$4</f>
        <v>0.96902225566513445</v>
      </c>
      <c r="N18">
        <f>Table9[[#Totals],[Camera]]*$I$4</f>
        <v>0.97050463949364529</v>
      </c>
      <c r="O18">
        <f>Table9[[#Totals],[Looks]]*$I$4</f>
        <v>0.93754331753937514</v>
      </c>
    </row>
    <row r="19" spans="11:17" x14ac:dyDescent="0.3">
      <c r="K19" s="1" t="s">
        <v>36</v>
      </c>
      <c r="L19">
        <f>1 - L18</f>
        <v>2.6125063171945184E-2</v>
      </c>
      <c r="M19">
        <f t="shared" ref="M19:O19" si="4">1 - M18</f>
        <v>3.0977744334865553E-2</v>
      </c>
      <c r="N19">
        <f t="shared" si="4"/>
        <v>2.9495360506354706E-2</v>
      </c>
      <c r="O19">
        <f t="shared" si="4"/>
        <v>6.2456682460624857E-2</v>
      </c>
      <c r="P19">
        <f>SUBTOTAL(9,L19:O19)</f>
        <v>0.1490548504737903</v>
      </c>
      <c r="Q19" t="s">
        <v>37</v>
      </c>
    </row>
    <row r="20" spans="11:17" x14ac:dyDescent="0.3">
      <c r="K20" s="1" t="s">
        <v>38</v>
      </c>
      <c r="L20" s="1">
        <f>L19/$P$19</f>
        <v>0.1752714728095279</v>
      </c>
      <c r="M20" s="1">
        <f t="shared" ref="M20:O20" si="5">M19/$P$19</f>
        <v>0.20782781799048303</v>
      </c>
      <c r="N20" s="1">
        <f t="shared" si="5"/>
        <v>0.19788259431075106</v>
      </c>
      <c r="O20" s="1">
        <f t="shared" si="5"/>
        <v>0.41901811488923801</v>
      </c>
      <c r="P20">
        <f>SUBTOTAL(9,L20:O20)</f>
        <v>1</v>
      </c>
      <c r="Q20" t="s">
        <v>39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F9D55-EDC8-4FC1-9261-16793F676E5B}">
  <dimension ref="B3:O19"/>
  <sheetViews>
    <sheetView workbookViewId="0">
      <selection activeCell="I12" sqref="I12"/>
    </sheetView>
  </sheetViews>
  <sheetFormatPr defaultRowHeight="14.4" x14ac:dyDescent="0.3"/>
  <cols>
    <col min="2" max="2" width="20" bestFit="1" customWidth="1"/>
    <col min="5" max="5" width="9.33203125" customWidth="1"/>
    <col min="9" max="9" width="18.21875" bestFit="1" customWidth="1"/>
    <col min="12" max="12" width="9.33203125" customWidth="1"/>
  </cols>
  <sheetData>
    <row r="3" spans="2:15" x14ac:dyDescent="0.3">
      <c r="B3" t="str">
        <f>'Main Sheet'!B10</f>
        <v>CAT</v>
      </c>
      <c r="C3" t="str">
        <f>'Main Sheet'!C10</f>
        <v>Price</v>
      </c>
      <c r="D3" t="str">
        <f>'Main Sheet'!D10</f>
        <v>Storage</v>
      </c>
      <c r="E3" t="str">
        <f>'Main Sheet'!E10</f>
        <v>Camera</v>
      </c>
      <c r="F3" t="str">
        <f>'Main Sheet'!F10</f>
        <v>Looks</v>
      </c>
      <c r="I3" s="1" t="s">
        <v>40</v>
      </c>
    </row>
    <row r="4" spans="2:15" x14ac:dyDescent="0.3">
      <c r="B4" t="str">
        <f>'Main Sheet'!B11</f>
        <v>WT (your weightage)</v>
      </c>
      <c r="C4">
        <f>'Main Sheet'!C11</f>
        <v>0.1</v>
      </c>
      <c r="D4">
        <f>'Main Sheet'!D11</f>
        <v>0.5</v>
      </c>
      <c r="E4">
        <f>'Main Sheet'!E11</f>
        <v>0.3</v>
      </c>
      <c r="F4">
        <f>'Main Sheet'!F11</f>
        <v>0.1</v>
      </c>
    </row>
    <row r="5" spans="2:15" x14ac:dyDescent="0.3">
      <c r="B5" t="str">
        <f>'Main Sheet'!B12</f>
        <v>WT (system weightage)</v>
      </c>
      <c r="C5">
        <f>'Main Sheet'!C12</f>
        <v>0.1752714728095279</v>
      </c>
      <c r="D5">
        <f>'Main Sheet'!D12</f>
        <v>0.20782781799048303</v>
      </c>
      <c r="E5">
        <f>'Main Sheet'!E12</f>
        <v>0.19788259431075106</v>
      </c>
      <c r="F5">
        <f>'Main Sheet'!F12</f>
        <v>0.41901811488923801</v>
      </c>
      <c r="I5" t="s">
        <v>43</v>
      </c>
      <c r="J5" t="s">
        <v>0</v>
      </c>
      <c r="K5" t="s">
        <v>22</v>
      </c>
      <c r="L5" t="s">
        <v>2</v>
      </c>
      <c r="M5" t="s">
        <v>3</v>
      </c>
      <c r="N5" t="s">
        <v>15</v>
      </c>
      <c r="O5" t="s">
        <v>42</v>
      </c>
    </row>
    <row r="6" spans="2:15" x14ac:dyDescent="0.3">
      <c r="I6" t="str">
        <f>B8</f>
        <v>Mobile 1</v>
      </c>
      <c r="J6">
        <f>IF('Main Sheet'!$C$2=Normalisation!$J$2,VLOOKUP(Table11[[#This Row],[Attribute/ Criteria]],Table4[],2,FALSE),VLOOKUP(Table11[[#This Row],[Attribute/ Criteria]],Table5[],2,FALSE))</f>
        <v>0.5</v>
      </c>
      <c r="K6">
        <f>IF('Main Sheet'!$D$2=Normalisation!$J$2,VLOOKUP(Table11[[#This Row],[Attribute/ Criteria]],Table4[],3,FALSE),VLOOKUP(Table11[[#This Row],[Attribute/ Criteria]],Table5[],3,FALSE))</f>
        <v>0.5</v>
      </c>
      <c r="L6">
        <f>IF('Main Sheet'!$E$2=Normalisation!$J$2,VLOOKUP(Table11[[#This Row],[Attribute/ Criteria]],Table4[],4,FALSE),VLOOKUP(Table11[[#This Row],[Attribute/ Criteria]],Table5[],4,FALSE))</f>
        <v>0.41666666666666669</v>
      </c>
      <c r="M6">
        <f>IF('Main Sheet'!$E$2=Normalisation!$J$2,VLOOKUP(Table11[[#This Row],[Attribute/ Criteria]],Table4[],5,FALSE),VLOOKUP(Table11[[#This Row],[Attribute/ Criteria]],Table5[],5,FALSE))</f>
        <v>0.33333333333333331</v>
      </c>
      <c r="N6">
        <f>Table11[[#This Row],[Price]]*$C$4+Table11[[#This Row],[RAM]]*$D$4+Table11[[#This Row],[Camera]]*$E$4+Table11[[#This Row],[Looks]]*$F$4</f>
        <v>0.45833333333333331</v>
      </c>
      <c r="O6">
        <f>RANK(Table11[[#This Row],[WSM]],Table11[WSM],0)</f>
        <v>5</v>
      </c>
    </row>
    <row r="7" spans="2:15" x14ac:dyDescent="0.3">
      <c r="B7" t="s">
        <v>43</v>
      </c>
      <c r="C7" t="s">
        <v>0</v>
      </c>
      <c r="D7" t="s">
        <v>22</v>
      </c>
      <c r="E7" t="s">
        <v>2</v>
      </c>
      <c r="F7" t="s">
        <v>3</v>
      </c>
      <c r="I7" t="str">
        <f t="shared" ref="I7:I10" si="0">B9</f>
        <v>Mobile 2</v>
      </c>
      <c r="J7">
        <f>IF('Main Sheet'!$C$2=Normalisation!$J$2,VLOOKUP(Table11[[#This Row],[Attribute/ Criteria]],Table4[],2,FALSE),VLOOKUP(Table11[[#This Row],[Attribute/ Criteria]],Table5[],2,FALSE))</f>
        <v>0.5714285714285714</v>
      </c>
      <c r="K7">
        <f>IF('Main Sheet'!$D$2=Normalisation!$J$2,VLOOKUP(Table11[[#This Row],[Attribute/ Criteria]],Table4[],3,FALSE),VLOOKUP(Table11[[#This Row],[Attribute/ Criteria]],Table5[],3,FALSE))</f>
        <v>1</v>
      </c>
      <c r="L7">
        <f>IF('Main Sheet'!$E$2=Normalisation!$J$2,VLOOKUP(Table11[[#This Row],[Attribute/ Criteria]],Table4[],4,FALSE),VLOOKUP(Table11[[#This Row],[Attribute/ Criteria]],Table5[],4,FALSE))</f>
        <v>0.66666666666666663</v>
      </c>
      <c r="M7">
        <f>IF('Main Sheet'!$E$2=Normalisation!$J$2,VLOOKUP(Table11[[#This Row],[Attribute/ Criteria]],Table4[],5,FALSE),VLOOKUP(Table11[[#This Row],[Attribute/ Criteria]],Table5[],5,FALSE))</f>
        <v>0.5</v>
      </c>
      <c r="N7">
        <f>Table11[[#This Row],[Price]]*$C$4+Table11[[#This Row],[RAM]]*$D$4+Table11[[#This Row],[Camera]]*$E$4+Table11[[#This Row],[Looks]]*$F$4</f>
        <v>0.80714285714285716</v>
      </c>
      <c r="O7">
        <f>RANK(Table11[[#This Row],[WSM]],Table11[WSM],0)</f>
        <v>3</v>
      </c>
    </row>
    <row r="8" spans="2:15" x14ac:dyDescent="0.3">
      <c r="B8" t="str">
        <f>'Main Sheet'!B4</f>
        <v>Mobile 1</v>
      </c>
      <c r="C8">
        <f>'Main Sheet'!C4</f>
        <v>400</v>
      </c>
      <c r="D8">
        <f>'Main Sheet'!D4</f>
        <v>16</v>
      </c>
      <c r="E8">
        <f>'Main Sheet'!E4</f>
        <v>25</v>
      </c>
      <c r="F8">
        <f>'Main Sheet'!G4</f>
        <v>2</v>
      </c>
      <c r="I8" t="str">
        <f t="shared" si="0"/>
        <v>Mobile 3</v>
      </c>
      <c r="J8">
        <f>IF('Main Sheet'!$C$2=Normalisation!$J$2,VLOOKUP(Table11[[#This Row],[Attribute/ Criteria]],Table4[],2,FALSE),VLOOKUP(Table11[[#This Row],[Attribute/ Criteria]],Table5[],2,FALSE))</f>
        <v>1</v>
      </c>
      <c r="K8">
        <f>IF('Main Sheet'!$D$2=Normalisation!$J$2,VLOOKUP(Table11[[#This Row],[Attribute/ Criteria]],Table4[],3,FALSE),VLOOKUP(Table11[[#This Row],[Attribute/ Criteria]],Table5[],3,FALSE))</f>
        <v>0.5</v>
      </c>
      <c r="L8">
        <f>IF('Main Sheet'!$E$2=Normalisation!$J$2,VLOOKUP(Table11[[#This Row],[Attribute/ Criteria]],Table4[],4,FALSE),VLOOKUP(Table11[[#This Row],[Attribute/ Criteria]],Table5[],4,FALSE))</f>
        <v>0.5</v>
      </c>
      <c r="M8">
        <f>IF('Main Sheet'!$E$2=Normalisation!$J$2,VLOOKUP(Table11[[#This Row],[Attribute/ Criteria]],Table4[],5,FALSE),VLOOKUP(Table11[[#This Row],[Attribute/ Criteria]],Table5[],5,FALSE))</f>
        <v>0.33333333333333331</v>
      </c>
      <c r="N8">
        <f>Table11[[#This Row],[Price]]*$C$4+Table11[[#This Row],[RAM]]*$D$4+Table11[[#This Row],[Camera]]*$E$4+Table11[[#This Row],[Looks]]*$F$4</f>
        <v>0.53333333333333333</v>
      </c>
      <c r="O8">
        <f>RANK(Table11[[#This Row],[WSM]],Table11[WSM],0)</f>
        <v>4</v>
      </c>
    </row>
    <row r="9" spans="2:15" x14ac:dyDescent="0.3">
      <c r="B9" t="str">
        <f>'Main Sheet'!B5</f>
        <v>Mobile 2</v>
      </c>
      <c r="C9">
        <f>'Main Sheet'!C5</f>
        <v>350</v>
      </c>
      <c r="D9">
        <f>'Main Sheet'!D5</f>
        <v>32</v>
      </c>
      <c r="E9">
        <f>'Main Sheet'!E5</f>
        <v>40</v>
      </c>
      <c r="F9">
        <f>'Main Sheet'!G5</f>
        <v>3</v>
      </c>
      <c r="I9" t="str">
        <f t="shared" si="0"/>
        <v>Mobile 4</v>
      </c>
      <c r="J9">
        <f>IF('Main Sheet'!$C$2=Normalisation!$J$2,VLOOKUP(Table11[[#This Row],[Attribute/ Criteria]],Table4[],2,FALSE),VLOOKUP(Table11[[#This Row],[Attribute/ Criteria]],Table5[],2,FALSE))</f>
        <v>0.4</v>
      </c>
      <c r="K9">
        <f>IF('Main Sheet'!$D$2=Normalisation!$J$2,VLOOKUP(Table11[[#This Row],[Attribute/ Criteria]],Table4[],3,FALSE),VLOOKUP(Table11[[#This Row],[Attribute/ Criteria]],Table5[],3,FALSE))</f>
        <v>1</v>
      </c>
      <c r="L9">
        <f>IF('Main Sheet'!$E$2=Normalisation!$J$2,VLOOKUP(Table11[[#This Row],[Attribute/ Criteria]],Table4[],4,FALSE),VLOOKUP(Table11[[#This Row],[Attribute/ Criteria]],Table5[],4,FALSE))</f>
        <v>1</v>
      </c>
      <c r="M9">
        <f>IF('Main Sheet'!$E$2=Normalisation!$J$2,VLOOKUP(Table11[[#This Row],[Attribute/ Criteria]],Table4[],5,FALSE),VLOOKUP(Table11[[#This Row],[Attribute/ Criteria]],Table5[],5,FALSE))</f>
        <v>0.83333333333333337</v>
      </c>
      <c r="N9">
        <f>Table11[[#This Row],[Price]]*$C$4+Table11[[#This Row],[RAM]]*$D$4+Table11[[#This Row],[Camera]]*$E$4+Table11[[#This Row],[Looks]]*$F$4</f>
        <v>0.92333333333333345</v>
      </c>
      <c r="O9">
        <f>RANK(Table11[[#This Row],[WSM]],Table11[WSM],0)</f>
        <v>1</v>
      </c>
    </row>
    <row r="10" spans="2:15" x14ac:dyDescent="0.3">
      <c r="B10" t="str">
        <f>'Main Sheet'!B6</f>
        <v>Mobile 3</v>
      </c>
      <c r="C10">
        <f>'Main Sheet'!C6</f>
        <v>200</v>
      </c>
      <c r="D10">
        <f>'Main Sheet'!D6</f>
        <v>16</v>
      </c>
      <c r="E10">
        <f>'Main Sheet'!E6</f>
        <v>30</v>
      </c>
      <c r="F10">
        <f>'Main Sheet'!G6</f>
        <v>2</v>
      </c>
      <c r="I10" t="str">
        <f t="shared" si="0"/>
        <v>Mobile 5</v>
      </c>
      <c r="J10">
        <f>IF('Main Sheet'!$C$2=Normalisation!$J$2,VLOOKUP(Table11[[#This Row],[Attribute/ Criteria]],Table4[],2,FALSE),VLOOKUP(Table11[[#This Row],[Attribute/ Criteria]],Table5[],2,FALSE))</f>
        <v>0.66666666666666663</v>
      </c>
      <c r="K10">
        <f>IF('Main Sheet'!$D$2=Normalisation!$J$2,VLOOKUP(Table11[[#This Row],[Attribute/ Criteria]],Table4[],3,FALSE),VLOOKUP(Table11[[#This Row],[Attribute/ Criteria]],Table5[],3,FALSE))</f>
        <v>1</v>
      </c>
      <c r="L10">
        <f>IF('Main Sheet'!$E$2=Normalisation!$J$2,VLOOKUP(Table11[[#This Row],[Attribute/ Criteria]],Table4[],4,FALSE),VLOOKUP(Table11[[#This Row],[Attribute/ Criteria]],Table5[],4,FALSE))</f>
        <v>0.58333333333333337</v>
      </c>
      <c r="M10">
        <f>IF('Main Sheet'!$E$2=Normalisation!$J$2,VLOOKUP(Table11[[#This Row],[Attribute/ Criteria]],Table4[],5,FALSE),VLOOKUP(Table11[[#This Row],[Attribute/ Criteria]],Table5[],5,FALSE))</f>
        <v>1</v>
      </c>
      <c r="N10">
        <f>Table11[[#This Row],[Price]]*$C$4+Table11[[#This Row],[RAM]]*$D$4+Table11[[#This Row],[Camera]]*$E$4+Table11[[#This Row],[Looks]]*$F$4</f>
        <v>0.84166666666666667</v>
      </c>
      <c r="O10">
        <f>RANK(Table11[[#This Row],[WSM]],Table11[WSM],0)</f>
        <v>2</v>
      </c>
    </row>
    <row r="11" spans="2:15" x14ac:dyDescent="0.3">
      <c r="B11" t="str">
        <f>'Main Sheet'!B7</f>
        <v>Mobile 4</v>
      </c>
      <c r="C11">
        <f>'Main Sheet'!C7</f>
        <v>500</v>
      </c>
      <c r="D11">
        <f>'Main Sheet'!D7</f>
        <v>32</v>
      </c>
      <c r="E11">
        <f>'Main Sheet'!E7</f>
        <v>60</v>
      </c>
      <c r="F11">
        <f>'Main Sheet'!G7</f>
        <v>5</v>
      </c>
    </row>
    <row r="12" spans="2:15" x14ac:dyDescent="0.3">
      <c r="B12" t="str">
        <f>'Main Sheet'!B8</f>
        <v>Mobile 5</v>
      </c>
      <c r="C12">
        <f>'Main Sheet'!C8</f>
        <v>300</v>
      </c>
      <c r="D12">
        <f>'Main Sheet'!D8</f>
        <v>32</v>
      </c>
      <c r="E12">
        <f>'Main Sheet'!E8</f>
        <v>35</v>
      </c>
      <c r="F12">
        <f>'Main Sheet'!G8</f>
        <v>6</v>
      </c>
      <c r="I12" s="1" t="s">
        <v>41</v>
      </c>
    </row>
    <row r="14" spans="2:15" x14ac:dyDescent="0.3">
      <c r="I14" t="s">
        <v>43</v>
      </c>
      <c r="J14" t="s">
        <v>0</v>
      </c>
      <c r="K14" t="s">
        <v>22</v>
      </c>
      <c r="L14" t="s">
        <v>2</v>
      </c>
      <c r="M14" t="s">
        <v>3</v>
      </c>
      <c r="N14" t="s">
        <v>15</v>
      </c>
      <c r="O14" t="s">
        <v>42</v>
      </c>
    </row>
    <row r="15" spans="2:15" x14ac:dyDescent="0.3">
      <c r="I15" t="str">
        <f>B8</f>
        <v>Mobile 1</v>
      </c>
      <c r="J15">
        <f>IF('Main Sheet'!$C$2=Normalisation!$J$2,VLOOKUP(Table12[[#This Row],[Attribute/ Criteria]],Table4[],2,FALSE),VLOOKUP(Table12[[#This Row],[Attribute/ Criteria]],Table5[],2,FALSE))</f>
        <v>0.5</v>
      </c>
      <c r="K15">
        <f>IF('Main Sheet'!$D$2=Normalisation!$J$2,VLOOKUP(Table12[[#This Row],[Attribute/ Criteria]],Table4[],4,FALSE),VLOOKUP(Table12[[#This Row],[Attribute/ Criteria]],Table5[],4,FALSE))</f>
        <v>0.41666666666666669</v>
      </c>
      <c r="L15">
        <f>IF('Main Sheet'!$E$2=Normalisation!$J$2,VLOOKUP(Table12[[#This Row],[Attribute/ Criteria]],Table4[],4,FALSE),VLOOKUP(Table12[[#This Row],[Attribute/ Criteria]],Table5[],4,FALSE))</f>
        <v>0.41666666666666669</v>
      </c>
      <c r="M15">
        <f>IF('Main Sheet'!$E$2=Normalisation!$J$2,VLOOKUP(Table12[[#This Row],[Attribute/ Criteria]],Table4[],5,FALSE),VLOOKUP(Table12[[#This Row],[Attribute/ Criteria]],Table5[],5,FALSE))</f>
        <v>0.33333333333333331</v>
      </c>
      <c r="N15">
        <f>Table12[[#This Row],[Price]]*$C$5+Table12[[#This Row],[RAM]]*$D$5+Table12[[#This Row],[Camera]]*$E$5+Table12[[#This Row],[Looks]]*$F$5</f>
        <v>0.39635444649335749</v>
      </c>
      <c r="O15">
        <f>RANK(Table12[[#This Row],[WSM]],Table12[WSM],0)</f>
        <v>5</v>
      </c>
    </row>
    <row r="16" spans="2:15" x14ac:dyDescent="0.3">
      <c r="I16" t="str">
        <f t="shared" ref="I16:I19" si="1">B9</f>
        <v>Mobile 2</v>
      </c>
      <c r="J16">
        <f>IF('Main Sheet'!$C$2=Normalisation!$J$2,VLOOKUP(Table12[[#This Row],[Attribute/ Criteria]],Table4[],2,FALSE),VLOOKUP(Table12[[#This Row],[Attribute/ Criteria]],Table5[],2,FALSE))</f>
        <v>0.5714285714285714</v>
      </c>
      <c r="K16">
        <f>IF('Main Sheet'!$D$2=Normalisation!$J$2,VLOOKUP(Table12[[#This Row],[Attribute/ Criteria]],Table4[],4,FALSE),VLOOKUP(Table12[[#This Row],[Attribute/ Criteria]],Table5[],4,FALSE))</f>
        <v>0.66666666666666663</v>
      </c>
      <c r="L16">
        <f>IF('Main Sheet'!$E$2=Normalisation!$J$2,VLOOKUP(Table12[[#This Row],[Attribute/ Criteria]],Table4[],4,FALSE),VLOOKUP(Table12[[#This Row],[Attribute/ Criteria]],Table5[],4,FALSE))</f>
        <v>0.66666666666666663</v>
      </c>
      <c r="M16">
        <f>IF('Main Sheet'!$E$2=Normalisation!$J$2,VLOOKUP(Table12[[#This Row],[Attribute/ Criteria]],Table4[],5,FALSE),VLOOKUP(Table12[[#This Row],[Attribute/ Criteria]],Table5[],5,FALSE))</f>
        <v>0.5</v>
      </c>
      <c r="N16">
        <f>Table12[[#This Row],[Price]]*$C$5+Table12[[#This Row],[RAM]]*$D$5+Table12[[#This Row],[Camera]]*$E$5+Table12[[#This Row],[Looks]]*$F$5</f>
        <v>0.58013779296517187</v>
      </c>
      <c r="O16">
        <f>RANK(Table12[[#This Row],[WSM]],Table12[WSM],0)</f>
        <v>3</v>
      </c>
    </row>
    <row r="17" spans="9:15" x14ac:dyDescent="0.3">
      <c r="I17" t="str">
        <f t="shared" si="1"/>
        <v>Mobile 3</v>
      </c>
      <c r="J17">
        <f>IF('Main Sheet'!$C$2=Normalisation!$J$2,VLOOKUP(Table12[[#This Row],[Attribute/ Criteria]],Table4[],2,FALSE),VLOOKUP(Table12[[#This Row],[Attribute/ Criteria]],Table5[],2,FALSE))</f>
        <v>1</v>
      </c>
      <c r="K17">
        <f>IF('Main Sheet'!$D$2=Normalisation!$J$2,VLOOKUP(Table12[[#This Row],[Attribute/ Criteria]],Table4[],4,FALSE),VLOOKUP(Table12[[#This Row],[Attribute/ Criteria]],Table5[],4,FALSE))</f>
        <v>0.5</v>
      </c>
      <c r="L17">
        <f>IF('Main Sheet'!$E$2=Normalisation!$J$2,VLOOKUP(Table12[[#This Row],[Attribute/ Criteria]],Table4[],4,FALSE),VLOOKUP(Table12[[#This Row],[Attribute/ Criteria]],Table5[],4,FALSE))</f>
        <v>0.5</v>
      </c>
      <c r="M17">
        <f>IF('Main Sheet'!$E$2=Normalisation!$J$2,VLOOKUP(Table12[[#This Row],[Attribute/ Criteria]],Table4[],5,FALSE),VLOOKUP(Table12[[#This Row],[Attribute/ Criteria]],Table5[],5,FALSE))</f>
        <v>0.33333333333333331</v>
      </c>
      <c r="N17">
        <f>Table12[[#This Row],[Price]]*$C$5+Table12[[#This Row],[RAM]]*$D$5+Table12[[#This Row],[Camera]]*$E$5+Table12[[#This Row],[Looks]]*$F$5</f>
        <v>0.51779938392322422</v>
      </c>
      <c r="O17">
        <f>RANK(Table12[[#This Row],[WSM]],Table12[WSM],0)</f>
        <v>4</v>
      </c>
    </row>
    <row r="18" spans="9:15" x14ac:dyDescent="0.3">
      <c r="I18" t="str">
        <f t="shared" si="1"/>
        <v>Mobile 4</v>
      </c>
      <c r="J18">
        <f>IF('Main Sheet'!$C$2=Normalisation!$J$2,VLOOKUP(Table12[[#This Row],[Attribute/ Criteria]],Table4[],2,FALSE),VLOOKUP(Table12[[#This Row],[Attribute/ Criteria]],Table5[],2,FALSE))</f>
        <v>0.4</v>
      </c>
      <c r="K18">
        <f>IF('Main Sheet'!$D$2=Normalisation!$J$2,VLOOKUP(Table12[[#This Row],[Attribute/ Criteria]],Table4[],4,FALSE),VLOOKUP(Table12[[#This Row],[Attribute/ Criteria]],Table5[],4,FALSE))</f>
        <v>1</v>
      </c>
      <c r="L18">
        <f>IF('Main Sheet'!$E$2=Normalisation!$J$2,VLOOKUP(Table12[[#This Row],[Attribute/ Criteria]],Table4[],4,FALSE),VLOOKUP(Table12[[#This Row],[Attribute/ Criteria]],Table5[],4,FALSE))</f>
        <v>1</v>
      </c>
      <c r="M18">
        <f>IF('Main Sheet'!$E$2=Normalisation!$J$2,VLOOKUP(Table12[[#This Row],[Attribute/ Criteria]],Table4[],5,FALSE),VLOOKUP(Table12[[#This Row],[Attribute/ Criteria]],Table5[],5,FALSE))</f>
        <v>0.83333333333333337</v>
      </c>
      <c r="N18">
        <f>Table12[[#This Row],[Price]]*$C$5+Table12[[#This Row],[RAM]]*$D$5+Table12[[#This Row],[Camera]]*$E$5+Table12[[#This Row],[Looks]]*$F$5</f>
        <v>0.82500076383274368</v>
      </c>
      <c r="O18">
        <f>RANK(Table12[[#This Row],[WSM]],Table12[WSM],0)</f>
        <v>1</v>
      </c>
    </row>
    <row r="19" spans="9:15" x14ac:dyDescent="0.3">
      <c r="I19" t="str">
        <f t="shared" si="1"/>
        <v>Mobile 5</v>
      </c>
      <c r="J19">
        <f>IF('Main Sheet'!$C$2=Normalisation!$J$2,VLOOKUP(Table12[[#This Row],[Attribute/ Criteria]],Table4[],2,FALSE),VLOOKUP(Table12[[#This Row],[Attribute/ Criteria]],Table5[],2,FALSE))</f>
        <v>0.66666666666666663</v>
      </c>
      <c r="K19">
        <f>IF('Main Sheet'!$D$2=Normalisation!$J$2,VLOOKUP(Table12[[#This Row],[Attribute/ Criteria]],Table4[],4,FALSE),VLOOKUP(Table12[[#This Row],[Attribute/ Criteria]],Table5[],4,FALSE))</f>
        <v>0.58333333333333337</v>
      </c>
      <c r="L19">
        <f>IF('Main Sheet'!$E$2=Normalisation!$J$2,VLOOKUP(Table12[[#This Row],[Attribute/ Criteria]],Table4[],4,FALSE),VLOOKUP(Table12[[#This Row],[Attribute/ Criteria]],Table5[],4,FALSE))</f>
        <v>0.58333333333333337</v>
      </c>
      <c r="M19">
        <f>IF('Main Sheet'!$E$2=Normalisation!$J$2,VLOOKUP(Table12[[#This Row],[Attribute/ Criteria]],Table4[],5,FALSE),VLOOKUP(Table12[[#This Row],[Attribute/ Criteria]],Table5[],5,FALSE))</f>
        <v>1</v>
      </c>
      <c r="N19">
        <f>Table12[[#This Row],[Price]]*$C$5+Table12[[#This Row],[RAM]]*$D$5+Table12[[#This Row],[Camera]]*$E$5+Table12[[#This Row],[Looks]]*$F$5</f>
        <v>0.77253017060464324</v>
      </c>
      <c r="O19">
        <f>RANK(Table12[[#This Row],[WSM]],Table12[WSM],0)</f>
        <v>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27E4A-FEF3-4750-AE23-C7B6612EB40E}">
  <dimension ref="B3:O19"/>
  <sheetViews>
    <sheetView workbookViewId="0">
      <selection activeCell="I12" sqref="I12"/>
    </sheetView>
  </sheetViews>
  <sheetFormatPr defaultRowHeight="14.4" x14ac:dyDescent="0.3"/>
  <cols>
    <col min="2" max="2" width="20" bestFit="1" customWidth="1"/>
    <col min="5" max="5" width="9.33203125" customWidth="1"/>
    <col min="9" max="9" width="18.21875" bestFit="1" customWidth="1"/>
    <col min="12" max="12" width="9.33203125" customWidth="1"/>
  </cols>
  <sheetData>
    <row r="3" spans="2:15" x14ac:dyDescent="0.3">
      <c r="B3" t="str">
        <f>'Main Sheet'!B10</f>
        <v>CAT</v>
      </c>
      <c r="C3" t="str">
        <f>'Main Sheet'!C10</f>
        <v>Price</v>
      </c>
      <c r="D3" t="str">
        <f>'Main Sheet'!D10</f>
        <v>Storage</v>
      </c>
      <c r="E3" t="str">
        <f>'Main Sheet'!E10</f>
        <v>Camera</v>
      </c>
      <c r="F3" t="str">
        <f>'Main Sheet'!F10</f>
        <v>Looks</v>
      </c>
      <c r="I3" s="1" t="s">
        <v>40</v>
      </c>
    </row>
    <row r="4" spans="2:15" x14ac:dyDescent="0.3">
      <c r="B4" t="str">
        <f>'Main Sheet'!B11</f>
        <v>WT (your weightage)</v>
      </c>
      <c r="C4">
        <f>'Main Sheet'!C11</f>
        <v>0.1</v>
      </c>
      <c r="D4">
        <f>'Main Sheet'!D11</f>
        <v>0.5</v>
      </c>
      <c r="E4">
        <f>'Main Sheet'!E11</f>
        <v>0.3</v>
      </c>
      <c r="F4">
        <f>'Main Sheet'!F11</f>
        <v>0.1</v>
      </c>
    </row>
    <row r="5" spans="2:15" x14ac:dyDescent="0.3">
      <c r="B5" t="str">
        <f>'Main Sheet'!B12</f>
        <v>WT (system weightage)</v>
      </c>
      <c r="C5">
        <f>'Main Sheet'!C12</f>
        <v>0.1752714728095279</v>
      </c>
      <c r="D5">
        <f>'Main Sheet'!D12</f>
        <v>0.20782781799048303</v>
      </c>
      <c r="E5">
        <f>'Main Sheet'!E12</f>
        <v>0.19788259431075106</v>
      </c>
      <c r="F5">
        <f>'Main Sheet'!F12</f>
        <v>0.41901811488923801</v>
      </c>
      <c r="I5" t="s">
        <v>43</v>
      </c>
      <c r="J5" t="s">
        <v>0</v>
      </c>
      <c r="K5" t="s">
        <v>22</v>
      </c>
      <c r="L5" t="s">
        <v>2</v>
      </c>
      <c r="M5" t="s">
        <v>3</v>
      </c>
      <c r="N5" t="s">
        <v>16</v>
      </c>
      <c r="O5" t="s">
        <v>42</v>
      </c>
    </row>
    <row r="6" spans="2:15" x14ac:dyDescent="0.3">
      <c r="I6" t="str">
        <f>B8</f>
        <v>Mobile 1</v>
      </c>
      <c r="J6">
        <f>IF('Main Sheet'!$C$2=Normalisation!$J$2,VLOOKUP(Table14[[#This Row],[Attribute/ Criteria]],Table4[],2,FALSE),VLOOKUP(Table14[[#This Row],[Attribute/ Criteria]],Table5[],2,FALSE))</f>
        <v>0.5</v>
      </c>
      <c r="K6">
        <f>IF('Main Sheet'!$D$2=Normalisation!$J$2,VLOOKUP(Table14[[#This Row],[Attribute/ Criteria]],Table4[],3,FALSE),VLOOKUP(Table14[[#This Row],[Attribute/ Criteria]],Table5[],3,FALSE))</f>
        <v>0.5</v>
      </c>
      <c r="L6">
        <f>IF('Main Sheet'!$E$2=Normalisation!$J$2,VLOOKUP(Table14[[#This Row],[Attribute/ Criteria]],Table4[],4,FALSE),VLOOKUP(Table14[[#This Row],[Attribute/ Criteria]],Table5[],4,FALSE))</f>
        <v>0.41666666666666669</v>
      </c>
      <c r="M6">
        <f>IF('Main Sheet'!$F$2=Normalisation!$J$2,VLOOKUP(Table14[[#This Row],[Attribute/ Criteria]],Table4[],5,FALSE),VLOOKUP(Table14[[#This Row],[Attribute/ Criteria]],Table5[],5,FALSE))</f>
        <v>0.33333333333333331</v>
      </c>
      <c r="N6">
        <f>Table14[[#This Row],[Price]]^$C$4+Table14[[#This Row],[RAM]]^$D$4+Table14[[#This Row],[Camera]]^$E$4+Table14[[#This Row],[Looks]]^$F$4</f>
        <v>3.3051164490597538</v>
      </c>
      <c r="O6">
        <f>RANK(Table14[[#This Row],[WPM]],Table14[WPM],0)</f>
        <v>5</v>
      </c>
    </row>
    <row r="7" spans="2:15" x14ac:dyDescent="0.3">
      <c r="B7" t="s">
        <v>43</v>
      </c>
      <c r="C7" t="s">
        <v>0</v>
      </c>
      <c r="D7" t="s">
        <v>22</v>
      </c>
      <c r="E7" t="s">
        <v>2</v>
      </c>
      <c r="F7" t="s">
        <v>3</v>
      </c>
      <c r="I7" t="str">
        <f t="shared" ref="I7:I10" si="0">B9</f>
        <v>Mobile 2</v>
      </c>
      <c r="J7">
        <f>IF('Main Sheet'!$C$2=Normalisation!$J$2,VLOOKUP(Table14[[#This Row],[Attribute/ Criteria]],Table4[],2,FALSE),VLOOKUP(Table14[[#This Row],[Attribute/ Criteria]],Table5[],2,FALSE))</f>
        <v>0.5714285714285714</v>
      </c>
      <c r="K7">
        <f>IF('Main Sheet'!$D$2=Normalisation!$J$2,VLOOKUP(Table14[[#This Row],[Attribute/ Criteria]],Table4[],3,FALSE),VLOOKUP(Table14[[#This Row],[Attribute/ Criteria]],Table5[],3,FALSE))</f>
        <v>1</v>
      </c>
      <c r="L7">
        <f>IF('Main Sheet'!$E$2=Normalisation!$J$2,VLOOKUP(Table14[[#This Row],[Attribute/ Criteria]],Table4[],4,FALSE),VLOOKUP(Table14[[#This Row],[Attribute/ Criteria]],Table5[],4,FALSE))</f>
        <v>0.66666666666666663</v>
      </c>
      <c r="M7">
        <f>IF('Main Sheet'!$F$2=Normalisation!$J$2,VLOOKUP(Table14[[#This Row],[Attribute/ Criteria]],Table4[],5,FALSE),VLOOKUP(Table14[[#This Row],[Attribute/ Criteria]],Table5[],5,FALSE))</f>
        <v>0.5</v>
      </c>
      <c r="N7">
        <f>Table14[[#This Row],[Price]]^$C$4+Table14[[#This Row],[RAM]]^$D$4+Table14[[#This Row],[Camera]]^$E$4+Table14[[#This Row],[Looks]]^$F$4</f>
        <v>3.7640759501750196</v>
      </c>
      <c r="O7">
        <f>RANK(Table14[[#This Row],[WPM]],Table14[WPM],0)</f>
        <v>3</v>
      </c>
    </row>
    <row r="8" spans="2:15" x14ac:dyDescent="0.3">
      <c r="B8" t="str">
        <f>'Main Sheet'!B4</f>
        <v>Mobile 1</v>
      </c>
      <c r="C8">
        <f>'Main Sheet'!C4</f>
        <v>400</v>
      </c>
      <c r="D8">
        <f>'Main Sheet'!D4</f>
        <v>16</v>
      </c>
      <c r="E8">
        <f>'Main Sheet'!E4</f>
        <v>25</v>
      </c>
      <c r="F8">
        <f>'Main Sheet'!G4</f>
        <v>2</v>
      </c>
      <c r="I8" t="str">
        <f t="shared" si="0"/>
        <v>Mobile 3</v>
      </c>
      <c r="J8">
        <f>IF('Main Sheet'!$C$2=Normalisation!$J$2,VLOOKUP(Table14[[#This Row],[Attribute/ Criteria]],Table4[],2,FALSE),VLOOKUP(Table14[[#This Row],[Attribute/ Criteria]],Table5[],2,FALSE))</f>
        <v>1</v>
      </c>
      <c r="K8">
        <f>IF('Main Sheet'!$D$2=Normalisation!$J$2,VLOOKUP(Table14[[#This Row],[Attribute/ Criteria]],Table4[],3,FALSE),VLOOKUP(Table14[[#This Row],[Attribute/ Criteria]],Table5[],3,FALSE))</f>
        <v>0.5</v>
      </c>
      <c r="L8">
        <f>IF('Main Sheet'!$E$2=Normalisation!$J$2,VLOOKUP(Table14[[#This Row],[Attribute/ Criteria]],Table4[],4,FALSE),VLOOKUP(Table14[[#This Row],[Attribute/ Criteria]],Table5[],4,FALSE))</f>
        <v>0.5</v>
      </c>
      <c r="M8">
        <f>IF('Main Sheet'!$F$2=Normalisation!$J$2,VLOOKUP(Table14[[#This Row],[Attribute/ Criteria]],Table4[],5,FALSE),VLOOKUP(Table14[[#This Row],[Attribute/ Criteria]],Table5[],5,FALSE))</f>
        <v>0.33333333333333331</v>
      </c>
      <c r="N8">
        <f>Table14[[#This Row],[Price]]^$C$4+Table14[[#This Row],[RAM]]^$D$4+Table14[[#This Row],[Camera]]^$E$4+Table14[[#This Row],[Looks]]^$F$4</f>
        <v>3.415317637383545</v>
      </c>
      <c r="O8">
        <f>RANK(Table14[[#This Row],[WPM]],Table14[WPM],0)</f>
        <v>4</v>
      </c>
    </row>
    <row r="9" spans="2:15" x14ac:dyDescent="0.3">
      <c r="B9" t="str">
        <f>'Main Sheet'!B5</f>
        <v>Mobile 2</v>
      </c>
      <c r="C9">
        <f>'Main Sheet'!C5</f>
        <v>350</v>
      </c>
      <c r="D9">
        <f>'Main Sheet'!D5</f>
        <v>32</v>
      </c>
      <c r="E9">
        <f>'Main Sheet'!E5</f>
        <v>40</v>
      </c>
      <c r="F9">
        <f>'Main Sheet'!G5</f>
        <v>3</v>
      </c>
      <c r="I9" t="str">
        <f t="shared" si="0"/>
        <v>Mobile 4</v>
      </c>
      <c r="J9">
        <f>IF('Main Sheet'!$C$2=Normalisation!$J$2,VLOOKUP(Table14[[#This Row],[Attribute/ Criteria]],Table4[],2,FALSE),VLOOKUP(Table14[[#This Row],[Attribute/ Criteria]],Table5[],2,FALSE))</f>
        <v>0.4</v>
      </c>
      <c r="K9">
        <f>IF('Main Sheet'!$D$2=Normalisation!$J$2,VLOOKUP(Table14[[#This Row],[Attribute/ Criteria]],Table4[],3,FALSE),VLOOKUP(Table14[[#This Row],[Attribute/ Criteria]],Table5[],3,FALSE))</f>
        <v>1</v>
      </c>
      <c r="L9">
        <f>IF('Main Sheet'!$E$2=Normalisation!$J$2,VLOOKUP(Table14[[#This Row],[Attribute/ Criteria]],Table4[],4,FALSE),VLOOKUP(Table14[[#This Row],[Attribute/ Criteria]],Table5[],4,FALSE))</f>
        <v>1</v>
      </c>
      <c r="M9">
        <f>IF('Main Sheet'!$F$2=Normalisation!$J$2,VLOOKUP(Table14[[#This Row],[Attribute/ Criteria]],Table4[],5,FALSE),VLOOKUP(Table14[[#This Row],[Attribute/ Criteria]],Table5[],5,FALSE))</f>
        <v>0.83333333333333337</v>
      </c>
      <c r="N9">
        <f>Table14[[#This Row],[Price]]^$C$4+Table14[[#This Row],[RAM]]^$D$4+Table14[[#This Row],[Camera]]^$E$4+Table14[[#This Row],[Looks]]^$F$4</f>
        <v>3.8943765811173932</v>
      </c>
      <c r="O9">
        <f>RANK(Table14[[#This Row],[WPM]],Table14[WPM],0)</f>
        <v>1</v>
      </c>
    </row>
    <row r="10" spans="2:15" x14ac:dyDescent="0.3">
      <c r="B10" t="str">
        <f>'Main Sheet'!B6</f>
        <v>Mobile 3</v>
      </c>
      <c r="C10">
        <f>'Main Sheet'!C6</f>
        <v>200</v>
      </c>
      <c r="D10">
        <f>'Main Sheet'!D6</f>
        <v>16</v>
      </c>
      <c r="E10">
        <f>'Main Sheet'!E6</f>
        <v>30</v>
      </c>
      <c r="F10">
        <f>'Main Sheet'!G6</f>
        <v>2</v>
      </c>
      <c r="I10" t="str">
        <f t="shared" si="0"/>
        <v>Mobile 5</v>
      </c>
      <c r="J10">
        <f>IF('Main Sheet'!$C$2=Normalisation!$J$2,VLOOKUP(Table14[[#This Row],[Attribute/ Criteria]],Table4[],2,FALSE),VLOOKUP(Table14[[#This Row],[Attribute/ Criteria]],Table5[],2,FALSE))</f>
        <v>0.66666666666666663</v>
      </c>
      <c r="K10">
        <f>IF('Main Sheet'!$D$2=Normalisation!$J$2,VLOOKUP(Table14[[#This Row],[Attribute/ Criteria]],Table4[],3,FALSE),VLOOKUP(Table14[[#This Row],[Attribute/ Criteria]],Table5[],3,FALSE))</f>
        <v>1</v>
      </c>
      <c r="L10">
        <f>IF('Main Sheet'!$E$2=Normalisation!$J$2,VLOOKUP(Table14[[#This Row],[Attribute/ Criteria]],Table4[],4,FALSE),VLOOKUP(Table14[[#This Row],[Attribute/ Criteria]],Table5[],4,FALSE))</f>
        <v>0.58333333333333337</v>
      </c>
      <c r="M10">
        <f>IF('Main Sheet'!$F$2=Normalisation!$J$2,VLOOKUP(Table14[[#This Row],[Attribute/ Criteria]],Table4[],5,FALSE),VLOOKUP(Table14[[#This Row],[Attribute/ Criteria]],Table5[],5,FALSE))</f>
        <v>1</v>
      </c>
      <c r="N10">
        <f>Table14[[#This Row],[Price]]^$C$4+Table14[[#This Row],[RAM]]^$D$4+Table14[[#This Row],[Camera]]^$E$4+Table14[[#This Row],[Looks]]^$F$4</f>
        <v>3.8109617690121689</v>
      </c>
      <c r="O10">
        <f>RANK(Table14[[#This Row],[WPM]],Table14[WPM],0)</f>
        <v>2</v>
      </c>
    </row>
    <row r="11" spans="2:15" x14ac:dyDescent="0.3">
      <c r="B11" t="str">
        <f>'Main Sheet'!B7</f>
        <v>Mobile 4</v>
      </c>
      <c r="C11">
        <f>'Main Sheet'!C7</f>
        <v>500</v>
      </c>
      <c r="D11">
        <f>'Main Sheet'!D7</f>
        <v>32</v>
      </c>
      <c r="E11">
        <f>'Main Sheet'!E7</f>
        <v>60</v>
      </c>
      <c r="F11">
        <f>'Main Sheet'!G7</f>
        <v>5</v>
      </c>
    </row>
    <row r="12" spans="2:15" x14ac:dyDescent="0.3">
      <c r="B12" t="str">
        <f>'Main Sheet'!B8</f>
        <v>Mobile 5</v>
      </c>
      <c r="C12">
        <f>'Main Sheet'!C8</f>
        <v>300</v>
      </c>
      <c r="D12">
        <f>'Main Sheet'!D8</f>
        <v>32</v>
      </c>
      <c r="E12">
        <f>'Main Sheet'!E8</f>
        <v>35</v>
      </c>
      <c r="F12">
        <f>'Main Sheet'!G8</f>
        <v>6</v>
      </c>
      <c r="I12" s="1" t="s">
        <v>41</v>
      </c>
    </row>
    <row r="14" spans="2:15" x14ac:dyDescent="0.3">
      <c r="I14" t="s">
        <v>43</v>
      </c>
      <c r="J14" t="s">
        <v>0</v>
      </c>
      <c r="K14" t="s">
        <v>22</v>
      </c>
      <c r="L14" t="s">
        <v>2</v>
      </c>
      <c r="M14" t="s">
        <v>3</v>
      </c>
      <c r="N14" t="s">
        <v>16</v>
      </c>
      <c r="O14" t="s">
        <v>42</v>
      </c>
    </row>
    <row r="15" spans="2:15" x14ac:dyDescent="0.3">
      <c r="I15" t="str">
        <f>B8</f>
        <v>Mobile 1</v>
      </c>
      <c r="J15">
        <f>IF('Main Sheet'!$C$2=Normalisation!$J$2,VLOOKUP(Table15[[#This Row],[Attribute/ Criteria]],Table4[],2,FALSE),VLOOKUP(Table15[[#This Row],[Attribute/ Criteria]],Table5[],2,FALSE))</f>
        <v>0.5</v>
      </c>
      <c r="K15">
        <f>IF('Main Sheet'!$D$2=Normalisation!$J$2,VLOOKUP(Table15[[#This Row],[Attribute/ Criteria]],Table4[],3,FALSE),VLOOKUP(Table15[[#This Row],[Attribute/ Criteria]],Table5[],3,FALSE))</f>
        <v>0.5</v>
      </c>
      <c r="L15">
        <f>IF('Main Sheet'!$E$2=Normalisation!$J$2,VLOOKUP(Table15[[#This Row],[Attribute/ Criteria]],Table4[],4,FALSE),VLOOKUP(Table15[[#This Row],[Attribute/ Criteria]],Table5[],4,FALSE))</f>
        <v>0.41666666666666669</v>
      </c>
      <c r="M15">
        <f>IF('Main Sheet'!$F$2=Normalisation!$J$2,VLOOKUP(Table15[[#This Row],[Attribute/ Criteria]],Table4[],5,FALSE),VLOOKUP(Table15[[#This Row],[Attribute/ Criteria]],Table5[],5,FALSE))</f>
        <v>0.33333333333333331</v>
      </c>
      <c r="N15">
        <f>Table15[[#This Row],[Price]]^$C$5+Table15[[#This Row],[RAM]]^$D$5+Table15[[#This Row],[Camera]]^$E$5+Table15[[#This Row],[Looks]]^$F$5</f>
        <v>3.2234465231415479</v>
      </c>
      <c r="O15">
        <f>RANK(Table15[[#This Row],[WPM]],Table15[WPM],0)</f>
        <v>5</v>
      </c>
    </row>
    <row r="16" spans="2:15" x14ac:dyDescent="0.3">
      <c r="I16" t="str">
        <f t="shared" ref="I16:I18" si="1">B9</f>
        <v>Mobile 2</v>
      </c>
      <c r="J16">
        <f>IF('Main Sheet'!$C$2=Normalisation!$J$2,VLOOKUP(Table15[[#This Row],[Attribute/ Criteria]],Table4[],2,FALSE),VLOOKUP(Table15[[#This Row],[Attribute/ Criteria]],Table5[],2,FALSE))</f>
        <v>0.5714285714285714</v>
      </c>
      <c r="K16">
        <f>IF('Main Sheet'!$D$2=Normalisation!$J$2,VLOOKUP(Table15[[#This Row],[Attribute/ Criteria]],Table4[],3,FALSE),VLOOKUP(Table15[[#This Row],[Attribute/ Criteria]],Table5[],3,FALSE))</f>
        <v>1</v>
      </c>
      <c r="L16">
        <f>IF('Main Sheet'!$E$2=Normalisation!$J$2,VLOOKUP(Table15[[#This Row],[Attribute/ Criteria]],Table4[],4,FALSE),VLOOKUP(Table15[[#This Row],[Attribute/ Criteria]],Table5[],4,FALSE))</f>
        <v>0.66666666666666663</v>
      </c>
      <c r="M16">
        <f>IF('Main Sheet'!$F$2=Normalisation!$J$2,VLOOKUP(Table15[[#This Row],[Attribute/ Criteria]],Table4[],5,FALSE),VLOOKUP(Table15[[#This Row],[Attribute/ Criteria]],Table5[],5,FALSE))</f>
        <v>0.5</v>
      </c>
      <c r="N16">
        <f>Table15[[#This Row],[Price]]^$C$5+Table15[[#This Row],[RAM]]^$D$5+Table15[[#This Row],[Camera]]^$E$5+Table15[[#This Row],[Looks]]^$F$5</f>
        <v>3.5774055293104206</v>
      </c>
      <c r="O16">
        <f>RANK(Table15[[#This Row],[WPM]],Table15[WPM],0)</f>
        <v>3</v>
      </c>
    </row>
    <row r="17" spans="9:15" x14ac:dyDescent="0.3">
      <c r="I17" t="str">
        <f t="shared" si="1"/>
        <v>Mobile 3</v>
      </c>
      <c r="J17">
        <f>IF('Main Sheet'!$C$2=Normalisation!$J$2,VLOOKUP(Table15[[#This Row],[Attribute/ Criteria]],Table4[],2,FALSE),VLOOKUP(Table15[[#This Row],[Attribute/ Criteria]],Table5[],2,FALSE))</f>
        <v>1</v>
      </c>
      <c r="K17">
        <f>IF('Main Sheet'!$D$2=Normalisation!$J$2,VLOOKUP(Table15[[#This Row],[Attribute/ Criteria]],Table4[],3,FALSE),VLOOKUP(Table15[[#This Row],[Attribute/ Criteria]],Table5[],3,FALSE))</f>
        <v>0.5</v>
      </c>
      <c r="L17">
        <f>IF('Main Sheet'!$E$2=Normalisation!$J$2,VLOOKUP(Table15[[#This Row],[Attribute/ Criteria]],Table4[],4,FALSE),VLOOKUP(Table15[[#This Row],[Attribute/ Criteria]],Table5[],4,FALSE))</f>
        <v>0.5</v>
      </c>
      <c r="M17">
        <f>IF('Main Sheet'!$F$2=Normalisation!$J$2,VLOOKUP(Table15[[#This Row],[Attribute/ Criteria]],Table4[],5,FALSE),VLOOKUP(Table15[[#This Row],[Attribute/ Criteria]],Table5[],5,FALSE))</f>
        <v>0.33333333333333331</v>
      </c>
      <c r="N17">
        <f>Table15[[#This Row],[Price]]^$C$5+Table15[[#This Row],[RAM]]^$D$5+Table15[[#This Row],[Camera]]^$E$5+Table15[[#This Row],[Looks]]^$F$5</f>
        <v>3.3687391043523176</v>
      </c>
      <c r="O17">
        <f>RANK(Table15[[#This Row],[WPM]],Table15[WPM],0)</f>
        <v>4</v>
      </c>
    </row>
    <row r="18" spans="9:15" x14ac:dyDescent="0.3">
      <c r="I18" t="str">
        <f t="shared" si="1"/>
        <v>Mobile 4</v>
      </c>
      <c r="J18">
        <f>IF('Main Sheet'!$C$2=Normalisation!$J$2,VLOOKUP(Table15[[#This Row],[Attribute/ Criteria]],Table4[],2,FALSE),VLOOKUP(Table15[[#This Row],[Attribute/ Criteria]],Table5[],2,FALSE))</f>
        <v>0.4</v>
      </c>
      <c r="K18">
        <f>IF('Main Sheet'!$D$2=Normalisation!$J$2,VLOOKUP(Table15[[#This Row],[Attribute/ Criteria]],Table4[],3,FALSE),VLOOKUP(Table15[[#This Row],[Attribute/ Criteria]],Table5[],3,FALSE))</f>
        <v>1</v>
      </c>
      <c r="L18">
        <f>IF('Main Sheet'!$E$2=Normalisation!$J$2,VLOOKUP(Table15[[#This Row],[Attribute/ Criteria]],Table4[],4,FALSE),VLOOKUP(Table15[[#This Row],[Attribute/ Criteria]],Table5[],4,FALSE))</f>
        <v>1</v>
      </c>
      <c r="M18">
        <f>IF('Main Sheet'!$F$2=Normalisation!$J$2,VLOOKUP(Table15[[#This Row],[Attribute/ Criteria]],Table4[],5,FALSE),VLOOKUP(Table15[[#This Row],[Attribute/ Criteria]],Table5[],5,FALSE))</f>
        <v>0.83333333333333337</v>
      </c>
      <c r="N18">
        <f>Table15[[#This Row],[Price]]^$C$5+Table15[[#This Row],[RAM]]^$D$5+Table15[[#This Row],[Camera]]^$E$5+Table15[[#This Row],[Looks]]^$F$5</f>
        <v>3.7780822020227629</v>
      </c>
      <c r="O18">
        <f>RANK(Table15[[#This Row],[WPM]],Table15[WPM],0)</f>
        <v>2</v>
      </c>
    </row>
    <row r="19" spans="9:15" x14ac:dyDescent="0.3">
      <c r="I19" t="str">
        <f>B12</f>
        <v>Mobile 5</v>
      </c>
      <c r="J19">
        <f>IF('Main Sheet'!$C$2=Normalisation!$J$2,VLOOKUP(Table15[[#This Row],[Attribute/ Criteria]],Table4[],2,FALSE),VLOOKUP(Table15[[#This Row],[Attribute/ Criteria]],Table5[],2,FALSE))</f>
        <v>0.66666666666666663</v>
      </c>
      <c r="K19">
        <f>IF('Main Sheet'!$D$2=Normalisation!$J$2,VLOOKUP(Table15[[#This Row],[Attribute/ Criteria]],Table4[],3,FALSE),VLOOKUP(Table15[[#This Row],[Attribute/ Criteria]],Table5[],3,FALSE))</f>
        <v>1</v>
      </c>
      <c r="L19">
        <f>IF('Main Sheet'!$E$2=Normalisation!$J$2,VLOOKUP(Table15[[#This Row],[Attribute/ Criteria]],Table4[],4,FALSE),VLOOKUP(Table15[[#This Row],[Attribute/ Criteria]],Table5[],4,FALSE))</f>
        <v>0.58333333333333337</v>
      </c>
      <c r="M19">
        <f>IF('Main Sheet'!$F$2=Normalisation!$J$2,VLOOKUP(Table15[[#This Row],[Attribute/ Criteria]],Table4[],5,FALSE),VLOOKUP(Table15[[#This Row],[Attribute/ Criteria]],Table5[],5,FALSE))</f>
        <v>1</v>
      </c>
      <c r="N19">
        <f>Table15[[#This Row],[Price]]^$C$5+Table15[[#This Row],[RAM]]^$D$5+Table15[[#This Row],[Camera]]^$E$5+Table15[[#This Row],[Looks]]^$F$5</f>
        <v>3.8302329810677249</v>
      </c>
      <c r="O19">
        <f>RANK(Table15[[#This Row],[WPM]],Table15[WPM],0)</f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2F5A6-E926-47B6-9FF5-A7636ECF349B}">
  <dimension ref="B3:M19"/>
  <sheetViews>
    <sheetView workbookViewId="0">
      <selection activeCell="I12" sqref="I12"/>
    </sheetView>
  </sheetViews>
  <sheetFormatPr defaultRowHeight="14.4" x14ac:dyDescent="0.3"/>
  <cols>
    <col min="2" max="2" width="18.21875" bestFit="1" customWidth="1"/>
    <col min="5" max="5" width="9.33203125" customWidth="1"/>
    <col min="9" max="9" width="18.21875" bestFit="1" customWidth="1"/>
    <col min="12" max="12" width="10.5546875" bestFit="1" customWidth="1"/>
  </cols>
  <sheetData>
    <row r="3" spans="2:13" x14ac:dyDescent="0.3">
      <c r="I3" s="1" t="s">
        <v>40</v>
      </c>
    </row>
    <row r="5" spans="2:13" x14ac:dyDescent="0.3">
      <c r="I5" t="s">
        <v>43</v>
      </c>
      <c r="J5" t="s">
        <v>15</v>
      </c>
      <c r="K5" t="s">
        <v>16</v>
      </c>
      <c r="L5" t="s">
        <v>17</v>
      </c>
      <c r="M5" t="s">
        <v>42</v>
      </c>
    </row>
    <row r="6" spans="2:13" x14ac:dyDescent="0.3">
      <c r="I6" t="str">
        <f>B8</f>
        <v>Mobile 1</v>
      </c>
      <c r="J6">
        <f>Table11[[#This Row],[WSM]]</f>
        <v>0.45833333333333331</v>
      </c>
      <c r="K6">
        <f>Table14[[#This Row],[WPM]]</f>
        <v>3.3051164490597538</v>
      </c>
      <c r="L6">
        <f>Table17[[#This Row],[WSM]]*0.5+Table17[[#This Row],[WPM]]*0.5</f>
        <v>1.8817248911965436</v>
      </c>
      <c r="M6">
        <f>RANK(Table17[[#This Row],[WASPAS]],Table17[WASPAS],0)</f>
        <v>5</v>
      </c>
    </row>
    <row r="7" spans="2:13" x14ac:dyDescent="0.3">
      <c r="B7" t="s">
        <v>43</v>
      </c>
      <c r="C7" t="s">
        <v>0</v>
      </c>
      <c r="D7" t="s">
        <v>22</v>
      </c>
      <c r="E7" t="s">
        <v>2</v>
      </c>
      <c r="F7" t="s">
        <v>3</v>
      </c>
      <c r="I7" t="str">
        <f t="shared" ref="I7:I10" si="0">B9</f>
        <v>Mobile 2</v>
      </c>
      <c r="J7">
        <f>Table11[[#This Row],[WSM]]</f>
        <v>0.80714285714285716</v>
      </c>
      <c r="K7">
        <f>Table14[[#This Row],[WPM]]</f>
        <v>3.7640759501750196</v>
      </c>
      <c r="L7">
        <f>Table17[[#This Row],[WSM]]*0.5+Table17[[#This Row],[WPM]]*0.5</f>
        <v>2.2856094036589383</v>
      </c>
      <c r="M7">
        <f>RANK(Table17[[#This Row],[WASPAS]],Table17[WASPAS],0)</f>
        <v>3</v>
      </c>
    </row>
    <row r="8" spans="2:13" x14ac:dyDescent="0.3">
      <c r="B8" t="str">
        <f>'Main Sheet'!B4</f>
        <v>Mobile 1</v>
      </c>
      <c r="C8">
        <f>'Main Sheet'!C4</f>
        <v>400</v>
      </c>
      <c r="D8">
        <f>'Main Sheet'!D4</f>
        <v>16</v>
      </c>
      <c r="E8">
        <f>'Main Sheet'!E4</f>
        <v>25</v>
      </c>
      <c r="F8">
        <f>'Main Sheet'!G4</f>
        <v>2</v>
      </c>
      <c r="I8" t="str">
        <f t="shared" si="0"/>
        <v>Mobile 3</v>
      </c>
      <c r="J8">
        <f>Table11[[#This Row],[WSM]]</f>
        <v>0.53333333333333333</v>
      </c>
      <c r="K8">
        <f>Table14[[#This Row],[WPM]]</f>
        <v>3.415317637383545</v>
      </c>
      <c r="L8">
        <f>Table17[[#This Row],[WSM]]*0.5+Table17[[#This Row],[WPM]]*0.5</f>
        <v>1.9743254853584391</v>
      </c>
      <c r="M8">
        <f>RANK(Table17[[#This Row],[WASPAS]],Table17[WASPAS],0)</f>
        <v>4</v>
      </c>
    </row>
    <row r="9" spans="2:13" x14ac:dyDescent="0.3">
      <c r="B9" t="str">
        <f>'Main Sheet'!B5</f>
        <v>Mobile 2</v>
      </c>
      <c r="C9">
        <f>'Main Sheet'!C5</f>
        <v>350</v>
      </c>
      <c r="D9">
        <f>'Main Sheet'!D5</f>
        <v>32</v>
      </c>
      <c r="E9">
        <f>'Main Sheet'!E5</f>
        <v>40</v>
      </c>
      <c r="F9">
        <f>'Main Sheet'!G5</f>
        <v>3</v>
      </c>
      <c r="I9" t="str">
        <f t="shared" si="0"/>
        <v>Mobile 4</v>
      </c>
      <c r="J9">
        <f>Table11[[#This Row],[WSM]]</f>
        <v>0.92333333333333345</v>
      </c>
      <c r="K9">
        <f>Table14[[#This Row],[WPM]]</f>
        <v>3.8943765811173932</v>
      </c>
      <c r="L9">
        <f>Table17[[#This Row],[WSM]]*0.5+Table17[[#This Row],[WPM]]*0.5</f>
        <v>2.4088549572253632</v>
      </c>
      <c r="M9">
        <f>RANK(Table17[[#This Row],[WASPAS]],Table17[WASPAS],0)</f>
        <v>1</v>
      </c>
    </row>
    <row r="10" spans="2:13" x14ac:dyDescent="0.3">
      <c r="B10" t="str">
        <f>'Main Sheet'!B6</f>
        <v>Mobile 3</v>
      </c>
      <c r="C10">
        <f>'Main Sheet'!C6</f>
        <v>200</v>
      </c>
      <c r="D10">
        <f>'Main Sheet'!D6</f>
        <v>16</v>
      </c>
      <c r="E10">
        <f>'Main Sheet'!E6</f>
        <v>30</v>
      </c>
      <c r="F10">
        <f>'Main Sheet'!G6</f>
        <v>2</v>
      </c>
      <c r="I10" t="str">
        <f t="shared" si="0"/>
        <v>Mobile 5</v>
      </c>
      <c r="J10">
        <f>Table11[[#This Row],[WSM]]</f>
        <v>0.84166666666666667</v>
      </c>
      <c r="K10">
        <f>Table14[[#This Row],[WPM]]</f>
        <v>3.8109617690121689</v>
      </c>
      <c r="L10">
        <f>Table17[[#This Row],[WSM]]*0.5+Table17[[#This Row],[WPM]]*0.5</f>
        <v>2.3263142178394176</v>
      </c>
      <c r="M10">
        <f>RANK(Table17[[#This Row],[WASPAS]],Table17[WASPAS],0)</f>
        <v>2</v>
      </c>
    </row>
    <row r="11" spans="2:13" x14ac:dyDescent="0.3">
      <c r="B11" t="str">
        <f>'Main Sheet'!B7</f>
        <v>Mobile 4</v>
      </c>
      <c r="C11">
        <f>'Main Sheet'!C7</f>
        <v>500</v>
      </c>
      <c r="D11">
        <f>'Main Sheet'!D7</f>
        <v>32</v>
      </c>
      <c r="E11">
        <f>'Main Sheet'!E7</f>
        <v>60</v>
      </c>
      <c r="F11">
        <f>'Main Sheet'!G7</f>
        <v>5</v>
      </c>
    </row>
    <row r="12" spans="2:13" x14ac:dyDescent="0.3">
      <c r="B12" t="str">
        <f>'Main Sheet'!B8</f>
        <v>Mobile 5</v>
      </c>
      <c r="C12">
        <f>'Main Sheet'!C8</f>
        <v>300</v>
      </c>
      <c r="D12">
        <f>'Main Sheet'!D8</f>
        <v>32</v>
      </c>
      <c r="E12">
        <f>'Main Sheet'!E8</f>
        <v>35</v>
      </c>
      <c r="F12">
        <f>'Main Sheet'!G8</f>
        <v>6</v>
      </c>
      <c r="I12" s="1" t="s">
        <v>41</v>
      </c>
    </row>
    <row r="14" spans="2:13" x14ac:dyDescent="0.3">
      <c r="I14" t="s">
        <v>43</v>
      </c>
      <c r="J14" t="s">
        <v>15</v>
      </c>
      <c r="K14" t="s">
        <v>16</v>
      </c>
      <c r="L14" t="s">
        <v>17</v>
      </c>
      <c r="M14" t="s">
        <v>42</v>
      </c>
    </row>
    <row r="15" spans="2:13" x14ac:dyDescent="0.3">
      <c r="I15" t="str">
        <f>B8</f>
        <v>Mobile 1</v>
      </c>
      <c r="J15">
        <f>Table12[[#This Row],[WSM]]</f>
        <v>0.39635444649335749</v>
      </c>
      <c r="K15">
        <f>Table15[[#This Row],[WPM]]</f>
        <v>3.2234465231415479</v>
      </c>
      <c r="L15">
        <f>Table18[[#This Row],[WSM]]*0.5+Table18[[#This Row],[WPM]]*0.5</f>
        <v>1.8099004848174527</v>
      </c>
      <c r="M15">
        <f>RANK(Table18[[#This Row],[WASPAS]],Table18[WASPAS],0)</f>
        <v>5</v>
      </c>
    </row>
    <row r="16" spans="2:13" x14ac:dyDescent="0.3">
      <c r="I16" t="str">
        <f t="shared" ref="I16:I19" si="1">B9</f>
        <v>Mobile 2</v>
      </c>
      <c r="J16">
        <f>Table12[[#This Row],[WSM]]</f>
        <v>0.58013779296517187</v>
      </c>
      <c r="K16">
        <f>Table15[[#This Row],[WPM]]</f>
        <v>3.5774055293104206</v>
      </c>
      <c r="L16">
        <f>Table18[[#This Row],[WSM]]*0.5+Table18[[#This Row],[WPM]]*0.5</f>
        <v>2.0787716611377962</v>
      </c>
      <c r="M16">
        <f>RANK(Table18[[#This Row],[WASPAS]],Table18[WASPAS],0)</f>
        <v>3</v>
      </c>
    </row>
    <row r="17" spans="9:13" x14ac:dyDescent="0.3">
      <c r="I17" t="str">
        <f t="shared" si="1"/>
        <v>Mobile 3</v>
      </c>
      <c r="J17">
        <f>Table12[[#This Row],[WSM]]</f>
        <v>0.51779938392322422</v>
      </c>
      <c r="K17">
        <f>Table15[[#This Row],[WPM]]</f>
        <v>3.3687391043523176</v>
      </c>
      <c r="L17">
        <f>Table18[[#This Row],[WSM]]*0.5+Table18[[#This Row],[WPM]]*0.5</f>
        <v>1.9432692441377708</v>
      </c>
      <c r="M17">
        <f>RANK(Table18[[#This Row],[WASPAS]],Table18[WASPAS],0)</f>
        <v>4</v>
      </c>
    </row>
    <row r="18" spans="9:13" x14ac:dyDescent="0.3">
      <c r="I18" t="str">
        <f t="shared" si="1"/>
        <v>Mobile 4</v>
      </c>
      <c r="J18">
        <f>Table12[[#This Row],[WSM]]</f>
        <v>0.82500076383274368</v>
      </c>
      <c r="K18">
        <f>Table15[[#This Row],[WPM]]</f>
        <v>3.7780822020227629</v>
      </c>
      <c r="L18">
        <f>Table18[[#This Row],[WSM]]*0.5+Table18[[#This Row],[WPM]]*0.5</f>
        <v>2.3015414829277532</v>
      </c>
      <c r="M18">
        <f>RANK(Table18[[#This Row],[WASPAS]],Table18[WASPAS],0)</f>
        <v>1</v>
      </c>
    </row>
    <row r="19" spans="9:13" x14ac:dyDescent="0.3">
      <c r="I19" t="str">
        <f t="shared" si="1"/>
        <v>Mobile 5</v>
      </c>
      <c r="J19">
        <f>Table12[[#This Row],[WSM]]</f>
        <v>0.77253017060464324</v>
      </c>
      <c r="K19">
        <f>Table15[[#This Row],[WPM]]</f>
        <v>3.8302329810677249</v>
      </c>
      <c r="L19">
        <f>Table18[[#This Row],[WSM]]*0.5+Table18[[#This Row],[WPM]]*0.5</f>
        <v>2.3013815758361842</v>
      </c>
      <c r="M19">
        <f>RANK(Table18[[#This Row],[WASPAS]],Table18[WASPAS],0)</f>
        <v>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90D7F-0D81-4947-B0D0-993F9DAA1CDE}">
  <dimension ref="B3:Q27"/>
  <sheetViews>
    <sheetView workbookViewId="0">
      <selection activeCell="P10" sqref="P10"/>
    </sheetView>
  </sheetViews>
  <sheetFormatPr defaultRowHeight="14.4" x14ac:dyDescent="0.3"/>
  <cols>
    <col min="2" max="2" width="20" bestFit="1" customWidth="1"/>
    <col min="5" max="5" width="9.33203125" customWidth="1"/>
    <col min="9" max="9" width="18.21875" bestFit="1" customWidth="1"/>
    <col min="12" max="12" width="9.33203125" customWidth="1"/>
  </cols>
  <sheetData>
    <row r="3" spans="2:17" x14ac:dyDescent="0.3">
      <c r="B3" t="str">
        <f>'Main Sheet'!B10</f>
        <v>CAT</v>
      </c>
      <c r="C3" t="str">
        <f>'Main Sheet'!C10</f>
        <v>Price</v>
      </c>
      <c r="D3" t="str">
        <f>'Main Sheet'!D10</f>
        <v>Storage</v>
      </c>
      <c r="E3" t="str">
        <f>'Main Sheet'!E10</f>
        <v>Camera</v>
      </c>
      <c r="F3" t="str">
        <f>'Main Sheet'!F10</f>
        <v>Looks</v>
      </c>
    </row>
    <row r="4" spans="2:17" x14ac:dyDescent="0.3">
      <c r="B4" t="str">
        <f>'Main Sheet'!B11</f>
        <v>WT (your weightage)</v>
      </c>
      <c r="C4">
        <f>'Main Sheet'!C11</f>
        <v>0.1</v>
      </c>
      <c r="D4">
        <f>'Main Sheet'!D11</f>
        <v>0.5</v>
      </c>
      <c r="E4">
        <f>'Main Sheet'!E11</f>
        <v>0.3</v>
      </c>
      <c r="F4">
        <f>'Main Sheet'!F11</f>
        <v>0.1</v>
      </c>
      <c r="I4" s="1" t="s">
        <v>40</v>
      </c>
    </row>
    <row r="5" spans="2:17" x14ac:dyDescent="0.3">
      <c r="B5" t="str">
        <f>'Main Sheet'!B12</f>
        <v>WT (system weightage)</v>
      </c>
      <c r="C5">
        <f>'Main Sheet'!C12</f>
        <v>0.1752714728095279</v>
      </c>
      <c r="D5">
        <f>'Main Sheet'!D12</f>
        <v>0.20782781799048303</v>
      </c>
      <c r="E5">
        <f>'Main Sheet'!E12</f>
        <v>0.19788259431075106</v>
      </c>
      <c r="F5">
        <f>'Main Sheet'!F12</f>
        <v>0.41901811488923801</v>
      </c>
    </row>
    <row r="6" spans="2:17" x14ac:dyDescent="0.3">
      <c r="I6" t="s">
        <v>43</v>
      </c>
      <c r="J6" t="s">
        <v>0</v>
      </c>
      <c r="K6" t="s">
        <v>22</v>
      </c>
      <c r="L6" t="s">
        <v>2</v>
      </c>
      <c r="M6" t="s">
        <v>3</v>
      </c>
      <c r="N6" t="s">
        <v>45</v>
      </c>
      <c r="O6" t="s">
        <v>46</v>
      </c>
      <c r="P6" t="s">
        <v>20</v>
      </c>
      <c r="Q6" t="s">
        <v>42</v>
      </c>
    </row>
    <row r="7" spans="2:17" x14ac:dyDescent="0.3">
      <c r="B7" t="s">
        <v>43</v>
      </c>
      <c r="C7" t="s">
        <v>0</v>
      </c>
      <c r="D7" t="s">
        <v>22</v>
      </c>
      <c r="E7" t="s">
        <v>2</v>
      </c>
      <c r="F7" t="s">
        <v>3</v>
      </c>
      <c r="I7" t="str">
        <f>B8</f>
        <v>Mobile 1</v>
      </c>
      <c r="J7">
        <f>C8*$C$4/Table19[[#Totals],[Price]]</f>
        <v>4.9143609346716098E-2</v>
      </c>
      <c r="K7">
        <f>D8*$D$4/Table19[[#Totals],[RAM]]</f>
        <v>0.1336306209562122</v>
      </c>
      <c r="L7">
        <f>E8*$E$4/Table19[[#Totals],[Camera]]</f>
        <v>8.4115823113806637E-2</v>
      </c>
      <c r="M7">
        <f>F8*$F$4/Table19[[#Totals],[Looks]]</f>
        <v>2.2645540682891915E-2</v>
      </c>
      <c r="N7">
        <f>SQRT(POWER(Table20[[#Totals],[Price]]-Table20[[#This Row],[Price]],2)+POWER(Table20[[#Totals],[RAM]]-Table20[[#This Row],[RAM]],2)+POWER(Table20[[#Totals],[Camera]]-Table20[[#This Row],[Camera]],2)+POWER(Table20[[#Totals],[Looks]]-Table20[[#This Row],[Looks]],2))</f>
        <v>0.18419362864375416</v>
      </c>
      <c r="O7">
        <f>SQRT(POWER($J$13-Table20[[#This Row],[Price]],2)+POWER($K$13-Table20[[#This Row],[RAM]],2)+POWER($L$13-Table20[[#This Row],[Camera]],2)+POWER($M$13-Table20[[#This Row],[Looks]],2))</f>
        <v>2.4571804673358049E-2</v>
      </c>
      <c r="P7">
        <f>Table20[[#This Row],[SI-]]/(Table20[[#This Row],[SI+]]+Table20[[#This Row],[SI-]])</f>
        <v>0.11770054210092229</v>
      </c>
      <c r="Q7">
        <f>RANK(Table20[[#This Row],[PI]],Table20[PI],0)</f>
        <v>4</v>
      </c>
    </row>
    <row r="8" spans="2:17" x14ac:dyDescent="0.3">
      <c r="B8" t="str">
        <f>'Main Sheet'!B4</f>
        <v>Mobile 1</v>
      </c>
      <c r="C8">
        <f>'Main Sheet'!C4</f>
        <v>400</v>
      </c>
      <c r="D8">
        <f>'Main Sheet'!D4</f>
        <v>16</v>
      </c>
      <c r="E8">
        <f>'Main Sheet'!E4</f>
        <v>25</v>
      </c>
      <c r="F8">
        <f>'Main Sheet'!G4</f>
        <v>2</v>
      </c>
      <c r="I8" t="str">
        <f t="shared" ref="I8:I11" si="0">B9</f>
        <v>Mobile 2</v>
      </c>
      <c r="J8">
        <f>C9*$C$4/Table19[[#Totals],[Price]]</f>
        <v>4.3000658178376581E-2</v>
      </c>
      <c r="K8">
        <f>D9*$D$4/Table19[[#Totals],[RAM]]</f>
        <v>0.2672612419124244</v>
      </c>
      <c r="L8">
        <f>E9*$E$4/Table19[[#Totals],[Camera]]</f>
        <v>0.13458531698209061</v>
      </c>
      <c r="M8">
        <f>F9*$F$4/Table19[[#Totals],[Looks]]</f>
        <v>3.3968311024337873E-2</v>
      </c>
      <c r="N8">
        <f>SQRT(POWER(Table20[[#Totals],[Price]]-Table20[[#This Row],[Price]],2)+POWER(Table20[[#Totals],[RAM]]-Table20[[#This Row],[RAM]],2)+POWER(Table20[[#Totals],[Camera]]-Table20[[#This Row],[Camera]],2)+POWER(Table20[[#Totals],[Looks]]-Table20[[#This Row],[Looks]],2))</f>
        <v>7.7600068828242941E-2</v>
      </c>
      <c r="O8">
        <f>SQRT(POWER($J$13-Table20[[#This Row],[Price]],2)+POWER($K$13-Table20[[#This Row],[RAM]],2)+POWER($L$13-Table20[[#This Row],[Camera]],2)+POWER($M$13-Table20[[#This Row],[Looks]],2))</f>
        <v>0.14447193650733064</v>
      </c>
      <c r="P8">
        <f>Table20[[#This Row],[SI-]]/(Table20[[#This Row],[SI+]]+Table20[[#This Row],[SI-]])</f>
        <v>0.65056347957509875</v>
      </c>
      <c r="Q8">
        <f>RANK(Table20[[#This Row],[PI]],Table20[PI],0)</f>
        <v>2</v>
      </c>
    </row>
    <row r="9" spans="2:17" x14ac:dyDescent="0.3">
      <c r="B9" t="str">
        <f>'Main Sheet'!B5</f>
        <v>Mobile 2</v>
      </c>
      <c r="C9">
        <f>'Main Sheet'!C5</f>
        <v>350</v>
      </c>
      <c r="D9">
        <f>'Main Sheet'!D5</f>
        <v>32</v>
      </c>
      <c r="E9">
        <f>'Main Sheet'!E5</f>
        <v>40</v>
      </c>
      <c r="F9">
        <f>'Main Sheet'!G5</f>
        <v>3</v>
      </c>
      <c r="I9" t="str">
        <f t="shared" si="0"/>
        <v>Mobile 3</v>
      </c>
      <c r="J9">
        <f>C10*$C$4/Table19[[#Totals],[Price]]</f>
        <v>2.4571804673358049E-2</v>
      </c>
      <c r="K9">
        <f>D10*$D$4/Table19[[#Totals],[RAM]]</f>
        <v>0.1336306209562122</v>
      </c>
      <c r="L9">
        <f>E10*$E$4/Table19[[#Totals],[Camera]]</f>
        <v>0.10093898773656797</v>
      </c>
      <c r="M9">
        <f>F10*$F$4/Table19[[#Totals],[Looks]]</f>
        <v>2.2645540682891915E-2</v>
      </c>
      <c r="N9">
        <f>SQRT(POWER(Table20[[#Totals],[Price]]-Table20[[#This Row],[Price]],2)+POWER(Table20[[#Totals],[RAM]]-Table20[[#This Row],[RAM]],2)+POWER(Table20[[#Totals],[Camera]]-Table20[[#This Row],[Camera]],2)+POWER(Table20[[#Totals],[Looks]]-Table20[[#This Row],[Looks]],2))</f>
        <v>0.1773572516694642</v>
      </c>
      <c r="O9">
        <f>SQRT(POWER($J$13-Table20[[#This Row],[Price]],2)+POWER($K$13-Table20[[#This Row],[RAM]],2)+POWER($L$13-Table20[[#This Row],[Camera]],2)+POWER($M$13-Table20[[#This Row],[Looks]],2))</f>
        <v>1.682316462276133E-2</v>
      </c>
      <c r="P9">
        <f>Table20[[#This Row],[SI-]]/(Table20[[#This Row],[SI+]]+Table20[[#This Row],[SI-]])</f>
        <v>8.6636772873346049E-2</v>
      </c>
      <c r="Q9">
        <f>RANK(Table20[[#This Row],[PI]],Table20[PI],0)</f>
        <v>5</v>
      </c>
    </row>
    <row r="10" spans="2:17" x14ac:dyDescent="0.3">
      <c r="B10" t="str">
        <f>'Main Sheet'!B6</f>
        <v>Mobile 3</v>
      </c>
      <c r="C10">
        <f>'Main Sheet'!C6</f>
        <v>200</v>
      </c>
      <c r="D10">
        <f>'Main Sheet'!D6</f>
        <v>16</v>
      </c>
      <c r="E10">
        <f>'Main Sheet'!E6</f>
        <v>30</v>
      </c>
      <c r="F10">
        <f>'Main Sheet'!G6</f>
        <v>2</v>
      </c>
      <c r="I10" t="str">
        <f t="shared" si="0"/>
        <v>Mobile 4</v>
      </c>
      <c r="J10">
        <f>C11*$C$4/Table19[[#Totals],[Price]]</f>
        <v>6.1429511683395117E-2</v>
      </c>
      <c r="K10">
        <f>D11*$D$4/Table19[[#Totals],[RAM]]</f>
        <v>0.2672612419124244</v>
      </c>
      <c r="L10">
        <f>E11*$E$4/Table19[[#Totals],[Camera]]</f>
        <v>0.20187797547313593</v>
      </c>
      <c r="M10">
        <f>F11*$F$4/Table19[[#Totals],[Looks]]</f>
        <v>5.6613851707229781E-2</v>
      </c>
      <c r="N10">
        <f>SQRT(POWER(Table20[[#Totals],[Price]]-Table20[[#This Row],[Price]],2)+POWER(Table20[[#Totals],[RAM]]-Table20[[#This Row],[RAM]],2)+POWER(Table20[[#Totals],[Camera]]-Table20[[#This Row],[Camera]],2)+POWER(Table20[[#Totals],[Looks]]-Table20[[#This Row],[Looks]],2))</f>
        <v>1.1322770341445965E-2</v>
      </c>
      <c r="O10">
        <f>SQRT(POWER($J$13-Table20[[#This Row],[Price]],2)+POWER($K$13-Table20[[#This Row],[RAM]],2)+POWER($L$13-Table20[[#This Row],[Camera]],2)+POWER($M$13-Table20[[#This Row],[Looks]],2))</f>
        <v>0.18503352157198066</v>
      </c>
      <c r="P10">
        <f>Table20[[#This Row],[SI-]]/(Table20[[#This Row],[SI+]]+Table20[[#This Row],[SI-]])</f>
        <v>0.9423355868502642</v>
      </c>
      <c r="Q10">
        <f>RANK(Table20[[#This Row],[PI]],Table20[PI],0)</f>
        <v>1</v>
      </c>
    </row>
    <row r="11" spans="2:17" x14ac:dyDescent="0.3">
      <c r="B11" t="str">
        <f>'Main Sheet'!B7</f>
        <v>Mobile 4</v>
      </c>
      <c r="C11">
        <f>'Main Sheet'!C7</f>
        <v>500</v>
      </c>
      <c r="D11">
        <f>'Main Sheet'!D7</f>
        <v>32</v>
      </c>
      <c r="E11">
        <f>'Main Sheet'!E7</f>
        <v>60</v>
      </c>
      <c r="F11">
        <f>'Main Sheet'!G7</f>
        <v>5</v>
      </c>
      <c r="I11" t="str">
        <f t="shared" si="0"/>
        <v>Mobile 5</v>
      </c>
      <c r="J11">
        <f>C12*$C$4/Table19[[#Totals],[Price]]</f>
        <v>3.6857707010037072E-2</v>
      </c>
      <c r="K11">
        <f>D12*$D$4/Table19[[#Totals],[RAM]]</f>
        <v>0.2672612419124244</v>
      </c>
      <c r="L11">
        <f>E12*$E$4/Table19[[#Totals],[Camera]]</f>
        <v>0.1177621523593293</v>
      </c>
      <c r="M11">
        <f>F12*$F$4/Table19[[#Totals],[Looks]]</f>
        <v>6.7936622048675746E-2</v>
      </c>
      <c r="N11">
        <f>SQRT(POWER(Table20[[#Totals],[Price]]-Table20[[#This Row],[Price]],2)+POWER(Table20[[#Totals],[RAM]]-Table20[[#This Row],[RAM]],2)+POWER(Table20[[#Totals],[Camera]]-Table20[[#This Row],[Camera]],2)+POWER(Table20[[#Totals],[Looks]]-Table20[[#This Row],[Looks]],2))</f>
        <v>8.7631303100084434E-2</v>
      </c>
      <c r="O11">
        <f>SQRT(POWER($J$13-Table20[[#This Row],[Price]],2)+POWER($K$13-Table20[[#This Row],[RAM]],2)+POWER($L$13-Table20[[#This Row],[Camera]],2)+POWER($M$13-Table20[[#This Row],[Looks]],2))</f>
        <v>0.1455728126277343</v>
      </c>
      <c r="P11">
        <f>Table20[[#This Row],[SI-]]/(Table20[[#This Row],[SI+]]+Table20[[#This Row],[SI-]])</f>
        <v>0.62422917440118331</v>
      </c>
      <c r="Q11">
        <f>RANK(Table20[[#This Row],[PI]],Table20[PI],0)</f>
        <v>3</v>
      </c>
    </row>
    <row r="12" spans="2:17" x14ac:dyDescent="0.3">
      <c r="B12" t="str">
        <f>'Main Sheet'!B8</f>
        <v>Mobile 5</v>
      </c>
      <c r="C12">
        <f>'Main Sheet'!C8</f>
        <v>300</v>
      </c>
      <c r="D12">
        <f>'Main Sheet'!D8</f>
        <v>32</v>
      </c>
      <c r="E12">
        <f>'Main Sheet'!E8</f>
        <v>35</v>
      </c>
      <c r="F12">
        <f>'Main Sheet'!G8</f>
        <v>6</v>
      </c>
      <c r="I12" t="s">
        <v>18</v>
      </c>
      <c r="J12">
        <f>SUBTOTAL(4,Table20[Price])</f>
        <v>6.1429511683395117E-2</v>
      </c>
      <c r="K12">
        <f>SUBTOTAL(4,Table20[RAM])</f>
        <v>0.2672612419124244</v>
      </c>
      <c r="L12">
        <f>SUBTOTAL(4,Table20[Camera])</f>
        <v>0.20187797547313593</v>
      </c>
      <c r="M12">
        <f>SUBTOTAL(4,Table20[Looks])</f>
        <v>6.7936622048675746E-2</v>
      </c>
    </row>
    <row r="13" spans="2:17" x14ac:dyDescent="0.3">
      <c r="B13" t="s">
        <v>44</v>
      </c>
      <c r="C13">
        <f>SQRT(SUMSQ(Table19[Price]))</f>
        <v>813.94102980498531</v>
      </c>
      <c r="D13">
        <f>SQRT(SUMSQ(Table19[RAM]))</f>
        <v>59.866518188383061</v>
      </c>
      <c r="E13">
        <f>SQRT(SUMSQ(Table19[Camera]))</f>
        <v>89.162772500635043</v>
      </c>
      <c r="F13">
        <f>SQRT(SUMSQ(Table19[Looks]))</f>
        <v>8.8317608663278477</v>
      </c>
      <c r="I13" s="1" t="s">
        <v>19</v>
      </c>
      <c r="J13" s="1">
        <f>SUBTOTAL(5,Table20[Price])</f>
        <v>2.4571804673358049E-2</v>
      </c>
      <c r="K13" s="1">
        <f>SUBTOTAL(5,Table20[RAM])</f>
        <v>0.1336306209562122</v>
      </c>
      <c r="L13" s="1">
        <f>SUBTOTAL(5,Table20[Camera])</f>
        <v>8.4115823113806637E-2</v>
      </c>
      <c r="M13" s="1">
        <f>SUBTOTAL(5,Table20[Looks])</f>
        <v>2.2645540682891915E-2</v>
      </c>
    </row>
    <row r="18" spans="9:17" x14ac:dyDescent="0.3">
      <c r="I18" s="1" t="s">
        <v>41</v>
      </c>
    </row>
    <row r="20" spans="9:17" x14ac:dyDescent="0.3">
      <c r="I20" t="s">
        <v>43</v>
      </c>
      <c r="J20" t="s">
        <v>0</v>
      </c>
      <c r="K20" t="s">
        <v>22</v>
      </c>
      <c r="L20" t="s">
        <v>2</v>
      </c>
      <c r="M20" t="s">
        <v>3</v>
      </c>
      <c r="N20" t="s">
        <v>45</v>
      </c>
      <c r="O20" t="s">
        <v>46</v>
      </c>
      <c r="P20" t="s">
        <v>20</v>
      </c>
      <c r="Q20" t="s">
        <v>42</v>
      </c>
    </row>
    <row r="21" spans="9:17" x14ac:dyDescent="0.3">
      <c r="I21" t="str">
        <f>B8</f>
        <v>Mobile 1</v>
      </c>
      <c r="J21">
        <f>C8*$C$5/Table19[[#Totals],[Price]]</f>
        <v>8.613472789375011E-2</v>
      </c>
      <c r="K21">
        <f>D8*$D$5/Table19[[#Totals],[RAM]]</f>
        <v>5.5544320740085792E-2</v>
      </c>
      <c r="L21">
        <f>E8*$E$5/Table19[[#Totals],[Camera]]</f>
        <v>5.5483524334480984E-2</v>
      </c>
      <c r="M21">
        <f>F8*$F$5/Table19[[#Totals],[Looks]]</f>
        <v>9.4888917675929163E-2</v>
      </c>
      <c r="N21">
        <f>SQRT(POWER(Table21[[#Totals],[Price]]-Table21[[#This Row],[Price]],2)+POWER(Table21[[#Totals],[RAM]]-Table21[[#This Row],[RAM]],2)+POWER(Table21[[#Totals],[Camera]]-Table21[[#This Row],[Camera]],2)+POWER(Table21[[#Totals],[Looks]]-Table21[[#This Row],[Looks]],2))</f>
        <v>0.21353735950155095</v>
      </c>
      <c r="O21">
        <f>SQRT(POWER(J27-Table21[[#This Row],[Price]],2)+POWER(K27-Table21[[#This Row],[RAM]],2)+POWER(L27-Table21[[#This Row],[Camera]],2)+POWER(M27-Table21[[#This Row],[Looks]],2))</f>
        <v>4.3067363946875055E-2</v>
      </c>
      <c r="P21">
        <f>Table21[[#This Row],[SI-]]/(Table21[[#This Row],[SI+]]+Table21[[#This Row],[SI-]])</f>
        <v>0.16783542940327442</v>
      </c>
      <c r="Q21">
        <f>RANK(Table21[[#This Row],[PI]],Table21[PI],0)</f>
        <v>5</v>
      </c>
    </row>
    <row r="22" spans="9:17" x14ac:dyDescent="0.3">
      <c r="I22" t="str">
        <f>B9</f>
        <v>Mobile 2</v>
      </c>
      <c r="J22">
        <f>C9*$C$5/Table19[[#Totals],[Price]]</f>
        <v>7.5367886907031348E-2</v>
      </c>
      <c r="K22">
        <f>D9*$D$5/Table19[[#Totals],[RAM]]</f>
        <v>0.11108864148017158</v>
      </c>
      <c r="L22">
        <f>E9*$E$5/Table19[[#Totals],[Camera]]</f>
        <v>8.8773638935169583E-2</v>
      </c>
      <c r="M22">
        <f>F9*$F$5/Table19[[#Totals],[Looks]]</f>
        <v>0.14233337651389374</v>
      </c>
      <c r="N22">
        <f>SQRT(POWER(Table21[[#Totals],[Price]]-Table21[[#This Row],[Price]],2)+POWER(Table21[[#Totals],[RAM]]-Table21[[#This Row],[RAM]],2)+POWER(Table21[[#Totals],[Camera]]-Table21[[#This Row],[Camera]],2)+POWER(Table21[[#Totals],[Looks]]-Table21[[#This Row],[Looks]],2))</f>
        <v>0.15255262566010913</v>
      </c>
      <c r="O22">
        <f>SQRT(POWER(J28-Table21[[#This Row],[Price]],2)+POWER(K28-Table21[[#This Row],[RAM]],2)+POWER(L28-Table21[[#This Row],[Camera]],2)+POWER(M28-Table21[[#This Row],[Looks]],2))</f>
        <v>0.21485007256777658</v>
      </c>
      <c r="P22">
        <f>Table21[[#This Row],[SI-]]/(Table21[[#This Row],[SI+]]+Table21[[#This Row],[SI-]])</f>
        <v>0.58478087832254666</v>
      </c>
      <c r="Q22">
        <f>RANK(Table21[[#This Row],[PI]],Table21[PI],0)</f>
        <v>3</v>
      </c>
    </row>
    <row r="23" spans="9:17" x14ac:dyDescent="0.3">
      <c r="I23" t="str">
        <f>B10</f>
        <v>Mobile 3</v>
      </c>
      <c r="J23">
        <f>C10*$C$5/Table19[[#Totals],[Price]]</f>
        <v>4.3067363946875055E-2</v>
      </c>
      <c r="K23">
        <f>D10*$D$5/Table19[[#Totals],[RAM]]</f>
        <v>5.5544320740085792E-2</v>
      </c>
      <c r="L23">
        <f>E10*$E$5/Table19[[#Totals],[Camera]]</f>
        <v>6.6580229201377183E-2</v>
      </c>
      <c r="M23">
        <f>F10*$F$5/Table19[[#Totals],[Looks]]</f>
        <v>9.4888917675929163E-2</v>
      </c>
      <c r="N23">
        <f>SQRT(POWER(Table21[[#Totals],[Price]]-Table21[[#This Row],[Price]],2)+POWER(Table21[[#Totals],[RAM]]-Table21[[#This Row],[RAM]],2)+POWER(Table21[[#Totals],[Camera]]-Table21[[#This Row],[Camera]],2)+POWER(Table21[[#Totals],[Looks]]-Table21[[#This Row],[Looks]],2))</f>
        <v>0.21841936821587235</v>
      </c>
      <c r="O23">
        <f>SQRT(POWER(J29-Table21[[#This Row],[Price]],2)+POWER(K29-Table21[[#This Row],[RAM]],2)+POWER(L29-Table21[[#This Row],[Camera]],2)+POWER(M29-Table21[[#This Row],[Looks]],2))</f>
        <v>0.13556106750106131</v>
      </c>
      <c r="P23">
        <f>Table21[[#This Row],[SI-]]/(Table21[[#This Row],[SI+]]+Table21[[#This Row],[SI-]])</f>
        <v>0.38296203355561992</v>
      </c>
      <c r="Q23">
        <f>RANK(Table21[[#This Row],[PI]],Table21[PI],0)</f>
        <v>4</v>
      </c>
    </row>
    <row r="24" spans="9:17" x14ac:dyDescent="0.3">
      <c r="I24" t="str">
        <f>B11</f>
        <v>Mobile 4</v>
      </c>
      <c r="J24">
        <f>C11*$C$5/Table19[[#Totals],[Price]]</f>
        <v>0.10766840986718763</v>
      </c>
      <c r="K24">
        <f>D11*$D$5/Table19[[#Totals],[RAM]]</f>
        <v>0.11108864148017158</v>
      </c>
      <c r="L24">
        <f>E11*$E$5/Table19[[#Totals],[Camera]]</f>
        <v>0.13316045840275437</v>
      </c>
      <c r="M24">
        <f>F11*$F$5/Table19[[#Totals],[Looks]]</f>
        <v>0.23722229418982294</v>
      </c>
      <c r="N24">
        <f>SQRT(POWER(Table21[[#Totals],[Price]]-Table21[[#This Row],[Price]],2)+POWER(Table21[[#Totals],[RAM]]-Table21[[#This Row],[RAM]],2)+POWER(Table21[[#Totals],[Camera]]-Table21[[#This Row],[Camera]],2)+POWER(Table21[[#Totals],[Looks]]-Table21[[#This Row],[Looks]],2))</f>
        <v>4.7444458837964554E-2</v>
      </c>
      <c r="O24">
        <f>SQRT(POWER(J30-Table21[[#This Row],[Price]],2)+POWER(K30-Table21[[#This Row],[RAM]],2)+POWER(L30-Table21[[#This Row],[Camera]],2)+POWER(M30-Table21[[#This Row],[Looks]],2))</f>
        <v>0.31295254798763567</v>
      </c>
      <c r="P24">
        <f>Table21[[#This Row],[SI-]]/(Table21[[#This Row],[SI+]]+Table21[[#This Row],[SI-]])</f>
        <v>0.8683550142220704</v>
      </c>
      <c r="Q24">
        <f>RANK(Table21[[#This Row],[PI]],Table21[PI],0)</f>
        <v>1</v>
      </c>
    </row>
    <row r="25" spans="9:17" x14ac:dyDescent="0.3">
      <c r="I25" t="str">
        <f>B12</f>
        <v>Mobile 5</v>
      </c>
      <c r="J25">
        <f>C12*$C$5/Table19[[#Totals],[Price]]</f>
        <v>6.4601045920312586E-2</v>
      </c>
      <c r="K25">
        <f>D12*$D$5/Table19[[#Totals],[RAM]]</f>
        <v>0.11108864148017158</v>
      </c>
      <c r="L25">
        <f>E12*$E$5/Table19[[#Totals],[Camera]]</f>
        <v>7.7676934068273376E-2</v>
      </c>
      <c r="M25">
        <f>F12*$F$5/Table19[[#Totals],[Looks]]</f>
        <v>0.28466675302778749</v>
      </c>
      <c r="N25">
        <f>SQRT(POWER(Table21[[#Totals],[Price]]-Table21[[#This Row],[Price]],2)+POWER(Table21[[#Totals],[RAM]]-Table21[[#This Row],[RAM]],2)+POWER(Table21[[#Totals],[Camera]]-Table21[[#This Row],[Camera]],2)+POWER(Table21[[#Totals],[Looks]]-Table21[[#This Row],[Looks]],2))</f>
        <v>7.0236879984147488E-2</v>
      </c>
      <c r="O25">
        <f>SQRT(POWER(J31-Table21[[#This Row],[Price]],2)+POWER(K31-Table21[[#This Row],[RAM]],2)+POWER(L31-Table21[[#This Row],[Camera]],2)+POWER(M31-Table21[[#This Row],[Looks]],2))</f>
        <v>0.32184289298590807</v>
      </c>
      <c r="P25">
        <f>Table21[[#This Row],[SI-]]/(Table21[[#This Row],[SI+]]+Table21[[#This Row],[SI-]])</f>
        <v>0.82086074103722828</v>
      </c>
      <c r="Q25">
        <f>RANK(Table21[[#This Row],[PI]],Table21[PI],0)</f>
        <v>2</v>
      </c>
    </row>
    <row r="26" spans="9:17" x14ac:dyDescent="0.3">
      <c r="I26" t="s">
        <v>18</v>
      </c>
      <c r="J26">
        <f>SUBTOTAL(4,Table21[Price])</f>
        <v>0.10766840986718763</v>
      </c>
      <c r="K26">
        <f>SUBTOTAL(4,Table21[RAM])</f>
        <v>0.11108864148017158</v>
      </c>
      <c r="L26">
        <f>SUBTOTAL(4,Table21[Camera])</f>
        <v>0.13316045840275437</v>
      </c>
      <c r="M26">
        <f>SUBTOTAL(4,Table21[Looks])</f>
        <v>0.28466675302778749</v>
      </c>
    </row>
    <row r="27" spans="9:17" x14ac:dyDescent="0.3">
      <c r="I27" s="1" t="s">
        <v>19</v>
      </c>
      <c r="J27" s="1">
        <f>SUBTOTAL(5,Table21[Price])</f>
        <v>4.3067363946875055E-2</v>
      </c>
      <c r="K27" s="1">
        <f>SUBTOTAL(5,Table21[RAM])</f>
        <v>5.5544320740085792E-2</v>
      </c>
      <c r="L27" s="1">
        <f>SUBTOTAL(5,Table21[Camera])</f>
        <v>5.5483524334480984E-2</v>
      </c>
      <c r="M27" s="1">
        <f>SUBTOTAL(5,Table21[Looks])</f>
        <v>9.4888917675929163E-2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C4E2-B5AE-4120-A46C-5895EBE873EF}">
  <dimension ref="B2:R25"/>
  <sheetViews>
    <sheetView workbookViewId="0">
      <selection activeCell="R10" sqref="R10"/>
    </sheetView>
  </sheetViews>
  <sheetFormatPr defaultRowHeight="14.4" x14ac:dyDescent="0.3"/>
  <cols>
    <col min="2" max="2" width="20" bestFit="1" customWidth="1"/>
    <col min="5" max="5" width="9.33203125" customWidth="1"/>
    <col min="9" max="9" width="9.21875" customWidth="1"/>
    <col min="10" max="10" width="18.88671875" bestFit="1" customWidth="1"/>
    <col min="12" max="12" width="9.33203125" customWidth="1"/>
  </cols>
  <sheetData>
    <row r="2" spans="2:18" x14ac:dyDescent="0.3">
      <c r="O2" s="1" t="s">
        <v>52</v>
      </c>
      <c r="P2">
        <f>MIN(Table23[RI])</f>
        <v>0.1</v>
      </c>
    </row>
    <row r="3" spans="2:18" x14ac:dyDescent="0.3">
      <c r="B3" t="str">
        <f>'Main Sheet'!B10</f>
        <v>CAT</v>
      </c>
      <c r="C3" t="str">
        <f>'Main Sheet'!C10</f>
        <v>Price</v>
      </c>
      <c r="D3" t="str">
        <f>'Main Sheet'!D10</f>
        <v>Storage</v>
      </c>
      <c r="E3" t="str">
        <f>'Main Sheet'!E10</f>
        <v>Camera</v>
      </c>
      <c r="F3" t="str">
        <f>'Main Sheet'!F10</f>
        <v>Looks</v>
      </c>
      <c r="H3" t="s">
        <v>56</v>
      </c>
      <c r="O3" s="1" t="s">
        <v>54</v>
      </c>
      <c r="P3">
        <f>MAX(Table23[RI])</f>
        <v>0.5</v>
      </c>
    </row>
    <row r="4" spans="2:18" x14ac:dyDescent="0.3">
      <c r="B4" t="str">
        <f>'Main Sheet'!B11</f>
        <v>WT (your weightage)</v>
      </c>
      <c r="C4">
        <f>'Main Sheet'!C11</f>
        <v>0.1</v>
      </c>
      <c r="D4">
        <f>'Main Sheet'!D11</f>
        <v>0.5</v>
      </c>
      <c r="E4">
        <f>'Main Sheet'!E11</f>
        <v>0.3</v>
      </c>
      <c r="F4">
        <f>'Main Sheet'!F11</f>
        <v>0.1</v>
      </c>
      <c r="H4">
        <v>0.5</v>
      </c>
      <c r="J4" s="1" t="s">
        <v>40</v>
      </c>
      <c r="O4" s="1" t="s">
        <v>53</v>
      </c>
      <c r="P4">
        <f>MIN(Table23[SI])</f>
        <v>0.125</v>
      </c>
    </row>
    <row r="5" spans="2:18" x14ac:dyDescent="0.3">
      <c r="B5" t="str">
        <f>'Main Sheet'!B12</f>
        <v>WT (system weightage)</v>
      </c>
      <c r="C5">
        <f>'Main Sheet'!C12</f>
        <v>0.1752714728095279</v>
      </c>
      <c r="D5">
        <f>'Main Sheet'!D12</f>
        <v>0.20782781799048303</v>
      </c>
      <c r="E5">
        <f>'Main Sheet'!E12</f>
        <v>0.19788259431075106</v>
      </c>
      <c r="F5">
        <f>'Main Sheet'!F12</f>
        <v>0.41901811488923801</v>
      </c>
      <c r="O5" s="1" t="s">
        <v>55</v>
      </c>
      <c r="P5">
        <f>MAX(Table23[SI])</f>
        <v>0.96666666666666667</v>
      </c>
    </row>
    <row r="7" spans="2:18" x14ac:dyDescent="0.3">
      <c r="B7" t="s">
        <v>43</v>
      </c>
      <c r="C7" t="s">
        <v>0</v>
      </c>
      <c r="D7" t="s">
        <v>22</v>
      </c>
      <c r="E7" t="s">
        <v>2</v>
      </c>
      <c r="F7" t="s">
        <v>3</v>
      </c>
      <c r="J7" t="s">
        <v>43</v>
      </c>
      <c r="K7" t="s">
        <v>0</v>
      </c>
      <c r="L7" t="s">
        <v>22</v>
      </c>
      <c r="M7" t="s">
        <v>2</v>
      </c>
      <c r="N7" t="s">
        <v>3</v>
      </c>
      <c r="O7" t="s">
        <v>48</v>
      </c>
      <c r="P7" t="s">
        <v>51</v>
      </c>
      <c r="Q7" t="s">
        <v>57</v>
      </c>
      <c r="R7" t="s">
        <v>42</v>
      </c>
    </row>
    <row r="8" spans="2:18" x14ac:dyDescent="0.3">
      <c r="B8" t="str">
        <f>'Main Sheet'!B4</f>
        <v>Mobile 1</v>
      </c>
      <c r="C8">
        <f>'Main Sheet'!C4</f>
        <v>400</v>
      </c>
      <c r="D8">
        <f>'Main Sheet'!D4</f>
        <v>16</v>
      </c>
      <c r="E8">
        <f>'Main Sheet'!E4</f>
        <v>25</v>
      </c>
      <c r="F8">
        <f>'Main Sheet'!G4</f>
        <v>2</v>
      </c>
      <c r="J8" t="str">
        <f>Table22[[#This Row],[Attribute/ Criteria]]</f>
        <v>Mobile 1</v>
      </c>
      <c r="K8">
        <f>$C$4*(Table22[[#Totals],[Price]]-Table22[[#This Row],[Price]])/(Table22[[#Totals],[Price]]-$C$14)</f>
        <v>6.6666666666666666E-2</v>
      </c>
      <c r="L8">
        <f>$D$4*(Table22[[#Totals],[RAM]]-Table22[[#This Row],[RAM]])/(Table22[[#Totals],[RAM]]-$D$14)</f>
        <v>0.5</v>
      </c>
      <c r="M8">
        <f>$E$4*(Table22[[#Totals],[Camera]]-Table22[[#This Row],[Camera]])/(Table22[[#Totals],[Camera]]-$E$14)</f>
        <v>0.3</v>
      </c>
      <c r="N8">
        <f>$F$4*(Table22[[#Totals],[Looks]]-Table22[[#This Row],[Looks]])/(Table22[[#Totals],[Looks]]-$F$14)</f>
        <v>0.1</v>
      </c>
      <c r="O8">
        <f>SUBTOTAL(9,Table23[[#This Row],[Price]:[Looks]])</f>
        <v>0.96666666666666667</v>
      </c>
      <c r="P8">
        <f>SUBTOTAL(4,Table23[[#This Row],[Price]:[Looks]])</f>
        <v>0.5</v>
      </c>
      <c r="Q8">
        <f>$H$4*(Table23[[#This Row],[SI]]-$P$4)/($P$5-$P$4) + (1 - $H$4)*(Table23[[#This Row],[RI]]-$P$2)/($P$3-$P$2)</f>
        <v>1</v>
      </c>
      <c r="R8">
        <f>RANK(Table23[[#This Row],[QI]],Table23[QI],1)</f>
        <v>5</v>
      </c>
    </row>
    <row r="9" spans="2:18" x14ac:dyDescent="0.3">
      <c r="B9" t="str">
        <f>'Main Sheet'!B5</f>
        <v>Mobile 2</v>
      </c>
      <c r="C9">
        <f>'Main Sheet'!C5</f>
        <v>350</v>
      </c>
      <c r="D9">
        <f>'Main Sheet'!D5</f>
        <v>32</v>
      </c>
      <c r="E9">
        <f>'Main Sheet'!E5</f>
        <v>40</v>
      </c>
      <c r="F9">
        <f>'Main Sheet'!G5</f>
        <v>3</v>
      </c>
      <c r="J9" t="str">
        <f>Table22[[#This Row],[Attribute/ Criteria]]</f>
        <v>Mobile 2</v>
      </c>
      <c r="K9">
        <f>$C$4*(Table22[[#Totals],[Price]]-Table22[[#This Row],[Price]])/(Table22[[#Totals],[Price]]-$C$14)</f>
        <v>0.05</v>
      </c>
      <c r="L9">
        <f>$D$4*(Table22[[#Totals],[RAM]]-Table22[[#This Row],[RAM]])/(Table22[[#Totals],[RAM]]-$D$14)</f>
        <v>0</v>
      </c>
      <c r="M9">
        <f>$E$4*(Table22[[#Totals],[Camera]]-Table22[[#This Row],[Camera]])/(Table22[[#Totals],[Camera]]-$E$14)</f>
        <v>0.17142857142857143</v>
      </c>
      <c r="N9">
        <f>$F$4*(Table22[[#Totals],[Looks]]-Table22[[#This Row],[Looks]])/(Table22[[#Totals],[Looks]]-$F$14)</f>
        <v>7.5000000000000011E-2</v>
      </c>
      <c r="O9">
        <f>SUBTOTAL(9,Table23[[#This Row],[Price]:[Looks]])</f>
        <v>0.29642857142857143</v>
      </c>
      <c r="P9">
        <f>SUBTOTAL(4,Table23[[#This Row],[Price]:[Looks]])</f>
        <v>0.17142857142857143</v>
      </c>
      <c r="Q9">
        <f>$H$4*(Table23[[#This Row],[SI]]-$P$4)/($P$5-$P$4) + (1 - $H$4)*(Table23[[#This Row],[RI]]-$P$2)/($P$3-$P$2)</f>
        <v>0.1911244695898161</v>
      </c>
      <c r="R9">
        <f>RANK(Table23[[#This Row],[QI]],Table23[QI],1)</f>
        <v>2</v>
      </c>
    </row>
    <row r="10" spans="2:18" x14ac:dyDescent="0.3">
      <c r="B10" t="str">
        <f>'Main Sheet'!B6</f>
        <v>Mobile 3</v>
      </c>
      <c r="C10">
        <f>'Main Sheet'!C6</f>
        <v>200</v>
      </c>
      <c r="D10">
        <f>'Main Sheet'!D6</f>
        <v>16</v>
      </c>
      <c r="E10">
        <f>'Main Sheet'!E6</f>
        <v>30</v>
      </c>
      <c r="F10">
        <f>'Main Sheet'!G6</f>
        <v>2</v>
      </c>
      <c r="J10" t="str">
        <f>Table22[[#This Row],[Attribute/ Criteria]]</f>
        <v>Mobile 3</v>
      </c>
      <c r="K10">
        <f>$C$4*(Table22[[#Totals],[Price]]-Table22[[#This Row],[Price]])/(Table22[[#Totals],[Price]]-$C$14)</f>
        <v>0</v>
      </c>
      <c r="L10">
        <f>$D$4*(Table22[[#Totals],[RAM]]-Table22[[#This Row],[RAM]])/(Table22[[#Totals],[RAM]]-$D$14)</f>
        <v>0.5</v>
      </c>
      <c r="M10">
        <f>$E$4*(Table22[[#Totals],[Camera]]-Table22[[#This Row],[Camera]])/(Table22[[#Totals],[Camera]]-$E$14)</f>
        <v>0.25714285714285712</v>
      </c>
      <c r="N10">
        <f>$F$4*(Table22[[#Totals],[Looks]]-Table22[[#This Row],[Looks]])/(Table22[[#Totals],[Looks]]-$F$14)</f>
        <v>0.1</v>
      </c>
      <c r="O10">
        <f>SUBTOTAL(9,Table23[[#This Row],[Price]:[Looks]])</f>
        <v>0.8571428571428571</v>
      </c>
      <c r="P10">
        <f>SUBTOTAL(4,Table23[[#This Row],[Price]:[Looks]])</f>
        <v>0.5</v>
      </c>
      <c r="Q10">
        <f>$H$4*(Table23[[#This Row],[SI]]-$P$4)/($P$5-$P$4) + (1 - $H$4)*(Table23[[#This Row],[RI]]-$P$2)/($P$3-$P$2)</f>
        <v>0.93493635077793491</v>
      </c>
      <c r="R10">
        <f>RANK(Table23[[#This Row],[QI]],Table23[QI],1)</f>
        <v>4</v>
      </c>
    </row>
    <row r="11" spans="2:18" x14ac:dyDescent="0.3">
      <c r="B11" t="str">
        <f>'Main Sheet'!B7</f>
        <v>Mobile 4</v>
      </c>
      <c r="C11">
        <f>'Main Sheet'!C7</f>
        <v>500</v>
      </c>
      <c r="D11">
        <f>'Main Sheet'!D7</f>
        <v>32</v>
      </c>
      <c r="E11">
        <f>'Main Sheet'!E7</f>
        <v>60</v>
      </c>
      <c r="F11">
        <f>'Main Sheet'!G7</f>
        <v>5</v>
      </c>
      <c r="J11" t="str">
        <f>Table22[[#This Row],[Attribute/ Criteria]]</f>
        <v>Mobile 4</v>
      </c>
      <c r="K11">
        <f>$C$4*(Table22[[#Totals],[Price]]-Table22[[#This Row],[Price]])/(Table22[[#Totals],[Price]]-$C$14)</f>
        <v>0.1</v>
      </c>
      <c r="L11">
        <f>$D$4*(Table22[[#Totals],[RAM]]-Table22[[#This Row],[RAM]])/(Table22[[#Totals],[RAM]]-$D$14)</f>
        <v>0</v>
      </c>
      <c r="M11">
        <f>$E$4*(Table22[[#Totals],[Camera]]-Table22[[#This Row],[Camera]])/(Table22[[#Totals],[Camera]]-$E$14)</f>
        <v>0</v>
      </c>
      <c r="N11">
        <f>$F$4*(Table22[[#Totals],[Looks]]-Table22[[#This Row],[Looks]])/(Table22[[#Totals],[Looks]]-$F$14)</f>
        <v>2.5000000000000001E-2</v>
      </c>
      <c r="O11">
        <f>SUBTOTAL(9,Table23[[#This Row],[Price]:[Looks]])</f>
        <v>0.125</v>
      </c>
      <c r="P11">
        <f>SUBTOTAL(4,Table23[[#This Row],[Price]:[Looks]])</f>
        <v>0.1</v>
      </c>
      <c r="Q11">
        <f>$H$4*(Table23[[#This Row],[SI]]-$P$4)/($P$5-$P$4) + (1 - $H$4)*(Table23[[#This Row],[RI]]-$P$2)/($P$3-$P$2)</f>
        <v>0</v>
      </c>
      <c r="R11">
        <f>RANK(Table23[[#This Row],[QI]],Table23[QI],1)</f>
        <v>1</v>
      </c>
    </row>
    <row r="12" spans="2:18" x14ac:dyDescent="0.3">
      <c r="B12" t="str">
        <f>'Main Sheet'!B8</f>
        <v>Mobile 5</v>
      </c>
      <c r="C12">
        <f>'Main Sheet'!C8</f>
        <v>300</v>
      </c>
      <c r="D12">
        <f>'Main Sheet'!D8</f>
        <v>32</v>
      </c>
      <c r="E12">
        <f>'Main Sheet'!E8</f>
        <v>35</v>
      </c>
      <c r="F12">
        <f>'Main Sheet'!G8</f>
        <v>6</v>
      </c>
      <c r="J12" t="str">
        <f>Table22[[#This Row],[Attribute/ Criteria]]</f>
        <v>Mobile 5</v>
      </c>
      <c r="K12">
        <f>$C$4*(Table22[[#Totals],[Price]]-Table22[[#This Row],[Price]])/(Table22[[#Totals],[Price]]-$C$14)</f>
        <v>3.3333333333333333E-2</v>
      </c>
      <c r="L12">
        <f>$D$4*(Table22[[#Totals],[RAM]]-Table22[[#This Row],[RAM]])/(Table22[[#Totals],[RAM]]-$D$14)</f>
        <v>0</v>
      </c>
      <c r="M12">
        <f>$E$4*(Table22[[#Totals],[Camera]]-Table22[[#This Row],[Camera]])/(Table22[[#Totals],[Camera]]-$E$14)</f>
        <v>0.21428571428571427</v>
      </c>
      <c r="N12">
        <f>$F$4*(Table22[[#Totals],[Looks]]-Table22[[#This Row],[Looks]])/(Table22[[#Totals],[Looks]]-$F$14)</f>
        <v>0</v>
      </c>
      <c r="O12">
        <f>SUBTOTAL(9,Table23[[#This Row],[Price]:[Looks]])</f>
        <v>0.2476190476190476</v>
      </c>
      <c r="P12">
        <f>SUBTOTAL(4,Table23[[#This Row],[Price]:[Looks]])</f>
        <v>0.21428571428571427</v>
      </c>
      <c r="Q12">
        <f>$H$4*(Table23[[#This Row],[SI]]-$P$4)/($P$5-$P$4) + (1 - $H$4)*(Table23[[#This Row],[RI]]-$P$2)/($P$3-$P$2)</f>
        <v>0.21570014144271565</v>
      </c>
      <c r="R12">
        <f>RANK(Table23[[#This Row],[QI]],Table23[QI],1)</f>
        <v>3</v>
      </c>
    </row>
    <row r="13" spans="2:18" x14ac:dyDescent="0.3">
      <c r="B13" t="s">
        <v>49</v>
      </c>
      <c r="C13">
        <f>IF('Main Sheet'!$C$2=Normalisation!$J$2,SUBTOTAL(5,Table22[Price]),SUBTOTAL(4,Table22[Price]))</f>
        <v>200</v>
      </c>
      <c r="D13">
        <f>IF('Main Sheet'!$D$2=Normalisation!$J$2,SUBTOTAL(5,Table22[RAM]),SUBTOTAL(4,Table22[RAM]))</f>
        <v>32</v>
      </c>
      <c r="E13">
        <f>IF('Main Sheet'!$E$2=Normalisation!$J$2,SUBTOTAL(5,Table22[Camera]),SUBTOTAL(4,Table22[Camera]))</f>
        <v>60</v>
      </c>
      <c r="F13">
        <f>IF('Main Sheet'!$F$2=Normalisation!$J$2,SUBTOTAL(5,Table22[Looks]),SUBTOTAL(4,Table22[Looks]))</f>
        <v>6</v>
      </c>
    </row>
    <row r="14" spans="2:18" x14ac:dyDescent="0.3">
      <c r="B14" s="1" t="s">
        <v>50</v>
      </c>
      <c r="C14" s="1">
        <f>IF('Main Sheet'!$C$2=Normalisation!$J$2, SUBTOTAL(4,Table22[Price]),SUBTOTAL(5,Table22[Price]))</f>
        <v>500</v>
      </c>
      <c r="D14" s="1">
        <f>IF('Main Sheet'!$D$2=Normalisation!$J$2, SUBTOTAL(4,Table22[RAM]),SUBTOTAL(5,Table22[RAM]))</f>
        <v>16</v>
      </c>
      <c r="E14" s="1">
        <f>IF('Main Sheet'!$E$2=Normalisation!$J$2, SUBTOTAL(4,Table22[Camera]),SUBTOTAL(5,Table22[Camera]))</f>
        <v>25</v>
      </c>
      <c r="F14" s="1">
        <f>IF('Main Sheet'!$F$2=Normalisation!$J$2, SUBTOTAL(4,Table22[Looks]),SUBTOTAL(5,Table22[Looks]))</f>
        <v>2</v>
      </c>
    </row>
    <row r="15" spans="2:18" x14ac:dyDescent="0.3">
      <c r="O15" s="1" t="s">
        <v>52</v>
      </c>
      <c r="P15">
        <f>MIN(Table24[RI])</f>
        <v>0.14134471022196504</v>
      </c>
    </row>
    <row r="16" spans="2:18" x14ac:dyDescent="0.3">
      <c r="O16" s="1" t="s">
        <v>54</v>
      </c>
      <c r="P16">
        <f>MAX(Table24[RI])</f>
        <v>0.41901811488923801</v>
      </c>
    </row>
    <row r="17" spans="10:18" x14ac:dyDescent="0.3">
      <c r="J17" s="1" t="s">
        <v>47</v>
      </c>
      <c r="O17" s="1" t="s">
        <v>53</v>
      </c>
      <c r="P17">
        <f>MIN(Table24[SI])</f>
        <v>0.19976853449180768</v>
      </c>
    </row>
    <row r="18" spans="10:18" x14ac:dyDescent="0.3">
      <c r="O18" s="1" t="s">
        <v>55</v>
      </c>
      <c r="P18">
        <f>MAX(Table24[SI])</f>
        <v>0.94157617573015739</v>
      </c>
    </row>
    <row r="20" spans="10:18" x14ac:dyDescent="0.3">
      <c r="J20" t="s">
        <v>43</v>
      </c>
      <c r="K20" t="s">
        <v>0</v>
      </c>
      <c r="L20" t="s">
        <v>22</v>
      </c>
      <c r="M20" t="s">
        <v>2</v>
      </c>
      <c r="N20" t="s">
        <v>3</v>
      </c>
      <c r="O20" t="s">
        <v>48</v>
      </c>
      <c r="P20" t="s">
        <v>51</v>
      </c>
      <c r="Q20" t="s">
        <v>57</v>
      </c>
      <c r="R20" t="s">
        <v>42</v>
      </c>
    </row>
    <row r="21" spans="10:18" x14ac:dyDescent="0.3">
      <c r="J21" t="str">
        <f>B8</f>
        <v>Mobile 1</v>
      </c>
      <c r="K21">
        <f>$C$5*(Table22[[#Totals],[Price]]-C8)/(Table22[[#Totals],[Price]]-$C$14)</f>
        <v>0.11684764853968527</v>
      </c>
      <c r="L21">
        <f>$D$5*(Table22[[#Totals],[RAM]]-D8)/(Table22[[#Totals],[RAM]]-$D$14)</f>
        <v>0.20782781799048303</v>
      </c>
      <c r="M21">
        <f>$E$5*(Table22[[#Totals],[Camera]]-E8)/(Table22[[#Totals],[Camera]]-$E$14)</f>
        <v>0.19788259431075106</v>
      </c>
      <c r="N21">
        <f>$F$5*(Table22[[#Totals],[Looks]]-F8)/(Table22[[#Totals],[Looks]]-$F$14)</f>
        <v>0.41901811488923801</v>
      </c>
      <c r="O21">
        <f>SUBTOTAL(9,Table24[[#This Row],[Price]:[Looks]])</f>
        <v>0.94157617573015739</v>
      </c>
      <c r="P21">
        <f>SUBTOTAL(4,Table24[[#This Row],[Price]:[Looks]])</f>
        <v>0.41901811488923801</v>
      </c>
      <c r="Q21">
        <f>$H$4*(Table24[[#This Row],[SI]]-$P$17)/($P$18-$P$17)+(1 - $H$4)*(Table24[[#This Row],[RI]]-$P$15)/($P$16-$P$15)</f>
        <v>1</v>
      </c>
      <c r="R21">
        <f>RANK(Table24[[#This Row],[QI]],Table24[QI],1)</f>
        <v>5</v>
      </c>
    </row>
    <row r="22" spans="10:18" x14ac:dyDescent="0.3">
      <c r="J22" t="str">
        <f>B9</f>
        <v>Mobile 2</v>
      </c>
      <c r="K22">
        <f>$C$5*(Table22[[#Totals],[Price]]-C9)/(Table22[[#Totals],[Price]]-$C$14)</f>
        <v>8.763573640476395E-2</v>
      </c>
      <c r="L22">
        <f>$D$5*(Table22[[#Totals],[RAM]]-D9)/(Table22[[#Totals],[RAM]]-$D$14)</f>
        <v>0</v>
      </c>
      <c r="M22">
        <f>$E$5*(Table22[[#Totals],[Camera]]-E9)/(Table22[[#Totals],[Camera]]-$E$14)</f>
        <v>0.11307576817757203</v>
      </c>
      <c r="N22">
        <f>$F$5*(Table22[[#Totals],[Looks]]-F9)/(Table22[[#Totals],[Looks]]-$F$14)</f>
        <v>0.31426358616692851</v>
      </c>
      <c r="O22">
        <f>SUBTOTAL(9,Table24[[#This Row],[Price]:[Looks]])</f>
        <v>0.51497509074926451</v>
      </c>
      <c r="P22">
        <f>SUBTOTAL(4,Table24[[#This Row],[Price]:[Looks]])</f>
        <v>0.31426358616692851</v>
      </c>
      <c r="Q22">
        <f>$H$4*(Table24[[#This Row],[SI]]-$P$17)/($P$18-$P$17)+(1 - $H$4)*(Table24[[#This Row],[RI]]-$P$15)/($P$16-$P$15)</f>
        <v>0.52382939051007438</v>
      </c>
      <c r="R22">
        <f>RANK(Table24[[#This Row],[QI]],Table24[QI],1)</f>
        <v>3</v>
      </c>
    </row>
    <row r="23" spans="10:18" x14ac:dyDescent="0.3">
      <c r="J23" t="str">
        <f>B10</f>
        <v>Mobile 3</v>
      </c>
      <c r="K23">
        <f>$C$5*(Table22[[#Totals],[Price]]-C10)/(Table22[[#Totals],[Price]]-$C$14)</f>
        <v>0</v>
      </c>
      <c r="L23">
        <f>$D$5*(Table22[[#Totals],[RAM]]-D10)/(Table22[[#Totals],[RAM]]-$D$14)</f>
        <v>0.20782781799048303</v>
      </c>
      <c r="M23">
        <f>$E$5*(Table22[[#Totals],[Camera]]-E10)/(Table22[[#Totals],[Camera]]-$E$14)</f>
        <v>0.16961365226635805</v>
      </c>
      <c r="N23">
        <f>$F$5*(Table22[[#Totals],[Looks]]-F10)/(Table22[[#Totals],[Looks]]-$F$14)</f>
        <v>0.41901811488923801</v>
      </c>
      <c r="O23">
        <f>SUBTOTAL(9,Table24[[#This Row],[Price]:[Looks]])</f>
        <v>0.79645958514607906</v>
      </c>
      <c r="P23">
        <f>SUBTOTAL(4,Table24[[#This Row],[Price]:[Looks]])</f>
        <v>0.41901811488923801</v>
      </c>
      <c r="Q23">
        <f>$H$4*(Table24[[#This Row],[SI]]-$P$17)/($P$18-$P$17)+(1 - $H$4)*(Table24[[#This Row],[RI]]-$P$15)/($P$16-$P$15)</f>
        <v>0.90218718268941966</v>
      </c>
      <c r="R23">
        <f>RANK(Table24[[#This Row],[QI]],Table24[QI],1)</f>
        <v>4</v>
      </c>
    </row>
    <row r="24" spans="10:18" x14ac:dyDescent="0.3">
      <c r="J24" t="str">
        <f>B11</f>
        <v>Mobile 4</v>
      </c>
      <c r="K24">
        <f>$C$5*(Table22[[#Totals],[Price]]-C11)/(Table22[[#Totals],[Price]]-$C$14)</f>
        <v>0.1752714728095279</v>
      </c>
      <c r="L24">
        <f>$D$5*(Table22[[#Totals],[RAM]]-D11)/(Table22[[#Totals],[RAM]]-$D$14)</f>
        <v>0</v>
      </c>
      <c r="M24">
        <f>$E$5*(Table22[[#Totals],[Camera]]-E11)/(Table22[[#Totals],[Camera]]-$E$14)</f>
        <v>0</v>
      </c>
      <c r="N24">
        <f>$F$5*(Table22[[#Totals],[Looks]]-F11)/(Table22[[#Totals],[Looks]]-$F$14)</f>
        <v>0.1047545287223095</v>
      </c>
      <c r="O24">
        <f>SUBTOTAL(9,Table24[[#This Row],[Price]:[Looks]])</f>
        <v>0.28002600153183743</v>
      </c>
      <c r="P24">
        <f>SUBTOTAL(4,Table24[[#This Row],[Price]:[Looks]])</f>
        <v>0.1752714728095279</v>
      </c>
      <c r="Q24">
        <f>$H$4*(Table24[[#This Row],[SI]]-$P$17)/($P$18-$P$17)+(1 - $H$4)*(Table24[[#This Row],[RI]]-$P$15)/($P$16-$P$15)</f>
        <v>0.11518700234843124</v>
      </c>
      <c r="R24">
        <f>RANK(Table24[[#This Row],[QI]],Table24[QI],1)</f>
        <v>2</v>
      </c>
    </row>
    <row r="25" spans="10:18" x14ac:dyDescent="0.3">
      <c r="J25" t="str">
        <f>B12</f>
        <v>Mobile 5</v>
      </c>
      <c r="K25">
        <f>$C$5*(Table22[[#Totals],[Price]]-C12)/(Table22[[#Totals],[Price]]-$C$14)</f>
        <v>5.8423824269842634E-2</v>
      </c>
      <c r="L25">
        <f>$D$5*(Table22[[#Totals],[RAM]]-D12)/(Table22[[#Totals],[RAM]]-$D$14)</f>
        <v>0</v>
      </c>
      <c r="M25">
        <f>$E$5*(Table22[[#Totals],[Camera]]-E12)/(Table22[[#Totals],[Camera]]-$E$14)</f>
        <v>0.14134471022196504</v>
      </c>
      <c r="N25">
        <f>$F$5*(Table22[[#Totals],[Looks]]-F12)/(Table22[[#Totals],[Looks]]-$F$14)</f>
        <v>0</v>
      </c>
      <c r="O25">
        <f>SUBTOTAL(9,Table24[[#This Row],[Price]:[Looks]])</f>
        <v>0.19976853449180768</v>
      </c>
      <c r="P25">
        <f>SUBTOTAL(4,Table24[[#This Row],[Price]:[Looks]])</f>
        <v>0.14134471022196504</v>
      </c>
      <c r="Q25">
        <f>$H$4*(Table24[[#This Row],[SI]]-$P$17)/($P$18-$P$17)+(1 - $H$4)*(Table24[[#This Row],[RI]]-$P$15)/($P$16-$P$15)</f>
        <v>0</v>
      </c>
      <c r="R25">
        <f>RANK(Table24[[#This Row],[QI]],Table24[QI],1)</f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CCBD1-2CAD-4E9A-850A-8EA2EF79D971}">
  <dimension ref="B2:K21"/>
  <sheetViews>
    <sheetView workbookViewId="0">
      <selection activeCell="S18" sqref="S18"/>
    </sheetView>
  </sheetViews>
  <sheetFormatPr defaultRowHeight="14.4" x14ac:dyDescent="0.3"/>
  <cols>
    <col min="2" max="2" width="17.77734375" customWidth="1"/>
    <col min="10" max="10" width="11.5546875" bestFit="1" customWidth="1"/>
  </cols>
  <sheetData>
    <row r="2" spans="2:11" x14ac:dyDescent="0.3">
      <c r="B2" s="1" t="s">
        <v>40</v>
      </c>
    </row>
    <row r="4" spans="2:11" x14ac:dyDescent="0.3">
      <c r="C4">
        <v>0.2</v>
      </c>
      <c r="H4">
        <v>0.5</v>
      </c>
    </row>
    <row r="5" spans="2:11" x14ac:dyDescent="0.3">
      <c r="B5" t="s">
        <v>43</v>
      </c>
      <c r="C5" t="s">
        <v>15</v>
      </c>
      <c r="D5" t="s">
        <v>16</v>
      </c>
      <c r="E5" t="s">
        <v>17</v>
      </c>
      <c r="F5" t="s">
        <v>58</v>
      </c>
      <c r="G5" t="s">
        <v>59</v>
      </c>
      <c r="H5" t="s">
        <v>60</v>
      </c>
      <c r="I5" t="s">
        <v>61</v>
      </c>
      <c r="J5" t="s">
        <v>62</v>
      </c>
      <c r="K5" t="s">
        <v>42</v>
      </c>
    </row>
    <row r="6" spans="2:11" x14ac:dyDescent="0.3">
      <c r="B6" t="str">
        <f>'Main Sheet'!B4</f>
        <v>Mobile 1</v>
      </c>
      <c r="C6">
        <f>Table11[[#This Row],[RANK]]</f>
        <v>5</v>
      </c>
      <c r="D6">
        <f>Table14[[#This Row],[RANK]]</f>
        <v>5</v>
      </c>
      <c r="E6">
        <f>Table17[[#This Row],[RANK]]</f>
        <v>5</v>
      </c>
      <c r="F6">
        <f>TOPSIS!Q7</f>
        <v>4</v>
      </c>
      <c r="G6">
        <f>VIKOR!R8</f>
        <v>5</v>
      </c>
      <c r="H6">
        <f>SUBTOTAL(9,Table27[[#This Row],[WSM]:[VIKOR]])*$C$4</f>
        <v>4.8000000000000007</v>
      </c>
      <c r="I6">
        <f>Table27[[#This Row],[WSM]]^$C$4+Table27[[#This Row],[WPM]]^$C$4+Table27[[#This Row],[WASPAS]]^$C$4+Table27[[#This Row],[TOPSIS]]^$C$4+Table27[[#This Row],[VIKOR]]^$C$4</f>
        <v>6.8384265566177538</v>
      </c>
      <c r="J6">
        <f>SUM(Table27[[#This Row],[WSM1]:[WPM1]]) * $H$4</f>
        <v>5.8192132783088777</v>
      </c>
      <c r="K6">
        <f>RANK(Table27[[#This Row],[WASPAS1]],Table27[WASPAS1],1)</f>
        <v>5</v>
      </c>
    </row>
    <row r="7" spans="2:11" x14ac:dyDescent="0.3">
      <c r="B7" t="str">
        <f>'Main Sheet'!B5</f>
        <v>Mobile 2</v>
      </c>
      <c r="C7">
        <f>Table11[[#This Row],[RANK]]</f>
        <v>3</v>
      </c>
      <c r="D7">
        <f>Table14[[#This Row],[RANK]]</f>
        <v>3</v>
      </c>
      <c r="E7">
        <f>Table17[[#This Row],[RANK]]</f>
        <v>3</v>
      </c>
      <c r="F7">
        <f>TOPSIS!Q8</f>
        <v>2</v>
      </c>
      <c r="G7">
        <f>VIKOR!R9</f>
        <v>2</v>
      </c>
      <c r="H7">
        <f>SUBTOTAL(9,Table27[[#This Row],[WSM]:[VIKOR]])*$C$4</f>
        <v>2.6</v>
      </c>
      <c r="I7">
        <f>Table27[[#This Row],[WSM]]^$C$4+Table27[[#This Row],[WPM]]^$C$4+Table27[[#This Row],[WASPAS]]^$C$4+Table27[[#This Row],[TOPSIS]]^$C$4+Table27[[#This Row],[VIKOR]]^$C$4</f>
        <v>6.0345895288406224</v>
      </c>
      <c r="J7">
        <f>SUM(Table27[[#This Row],[WSM1]:[WPM1]]) * $H$4</f>
        <v>4.3172947644203115</v>
      </c>
      <c r="K7">
        <f>RANK(Table27[[#This Row],[WASPAS1]],Table27[WASPAS1],1)</f>
        <v>3</v>
      </c>
    </row>
    <row r="8" spans="2:11" x14ac:dyDescent="0.3">
      <c r="B8" t="str">
        <f>'Main Sheet'!B6</f>
        <v>Mobile 3</v>
      </c>
      <c r="C8">
        <f>Table11[[#This Row],[RANK]]</f>
        <v>4</v>
      </c>
      <c r="D8">
        <f>Table14[[#This Row],[RANK]]</f>
        <v>4</v>
      </c>
      <c r="E8">
        <f>Table17[[#This Row],[RANK]]</f>
        <v>4</v>
      </c>
      <c r="F8">
        <f>TOPSIS!Q9</f>
        <v>5</v>
      </c>
      <c r="G8">
        <f>VIKOR!R10</f>
        <v>4</v>
      </c>
      <c r="H8">
        <f>SUBTOTAL(9,Table27[[#This Row],[WSM]:[VIKOR]])*$C$4</f>
        <v>4.2</v>
      </c>
      <c r="I8">
        <f>Table27[[#This Row],[WSM]]^$C$4+Table27[[#This Row],[WPM]]^$C$4+Table27[[#This Row],[WASPAS]]^$C$4+Table27[[#This Row],[TOPSIS]]^$C$4+Table27[[#This Row],[VIKOR]]^$C$4</f>
        <v>6.6577613045527917</v>
      </c>
      <c r="J8">
        <f>SUM(Table27[[#This Row],[WSM1]:[WPM1]]) * $H$4</f>
        <v>5.4288806522763959</v>
      </c>
      <c r="K8">
        <f>RANK(Table27[[#This Row],[WASPAS1]],Table27[WASPAS1],1)</f>
        <v>4</v>
      </c>
    </row>
    <row r="9" spans="2:11" x14ac:dyDescent="0.3">
      <c r="B9" t="str">
        <f>'Main Sheet'!B7</f>
        <v>Mobile 4</v>
      </c>
      <c r="C9">
        <f>Table11[[#This Row],[RANK]]</f>
        <v>1</v>
      </c>
      <c r="D9">
        <f>Table14[[#This Row],[RANK]]</f>
        <v>1</v>
      </c>
      <c r="E9">
        <f>Table17[[#This Row],[RANK]]</f>
        <v>1</v>
      </c>
      <c r="F9">
        <f>TOPSIS!Q10</f>
        <v>1</v>
      </c>
      <c r="G9">
        <f>VIKOR!R11</f>
        <v>1</v>
      </c>
      <c r="H9">
        <f>SUBTOTAL(9,Table27[[#This Row],[WSM]:[VIKOR]])*$C$4</f>
        <v>1</v>
      </c>
      <c r="I9">
        <f>Table27[[#This Row],[WSM]]^$C$4+Table27[[#This Row],[WPM]]^$C$4+Table27[[#This Row],[WASPAS]]^$C$4+Table27[[#This Row],[TOPSIS]]^$C$4+Table27[[#This Row],[VIKOR]]^$C$4</f>
        <v>5</v>
      </c>
      <c r="J9">
        <f>SUM(Table27[[#This Row],[WSM1]:[WPM1]]) * $H$4</f>
        <v>3</v>
      </c>
      <c r="K9">
        <f>RANK(Table27[[#This Row],[WASPAS1]],Table27[WASPAS1],1)</f>
        <v>1</v>
      </c>
    </row>
    <row r="10" spans="2:11" x14ac:dyDescent="0.3">
      <c r="B10" t="str">
        <f>'Main Sheet'!B8</f>
        <v>Mobile 5</v>
      </c>
      <c r="C10">
        <f>Table11[[#This Row],[RANK]]</f>
        <v>2</v>
      </c>
      <c r="D10">
        <f>Table14[[#This Row],[RANK]]</f>
        <v>2</v>
      </c>
      <c r="E10">
        <f>Table17[[#This Row],[RANK]]</f>
        <v>2</v>
      </c>
      <c r="F10">
        <f>TOPSIS!Q11</f>
        <v>3</v>
      </c>
      <c r="G10">
        <f>VIKOR!R12</f>
        <v>3</v>
      </c>
      <c r="H10">
        <f>SUBTOTAL(9,Table27[[#This Row],[WSM]:[VIKOR]])*$C$4</f>
        <v>2.4000000000000004</v>
      </c>
      <c r="I10">
        <f>Table27[[#This Row],[WSM]]^$C$4+Table27[[#This Row],[WPM]]^$C$4+Table27[[#This Row],[WASPAS]]^$C$4+Table27[[#This Row],[TOPSIS]]^$C$4+Table27[[#This Row],[VIKOR]]^$C$4</f>
        <v>5.9375569442221412</v>
      </c>
      <c r="J10">
        <f>SUM(Table27[[#This Row],[WSM1]:[WPM1]]) * $H$4</f>
        <v>4.1687784721110708</v>
      </c>
      <c r="K10">
        <f>RANK(Table27[[#This Row],[WASPAS1]],Table27[WASPAS1],1)</f>
        <v>2</v>
      </c>
    </row>
    <row r="13" spans="2:11" x14ac:dyDescent="0.3">
      <c r="B13" s="1" t="s">
        <v>41</v>
      </c>
    </row>
    <row r="16" spans="2:11" x14ac:dyDescent="0.3">
      <c r="B16" t="s">
        <v>43</v>
      </c>
      <c r="C16" t="s">
        <v>15</v>
      </c>
      <c r="D16" t="s">
        <v>16</v>
      </c>
      <c r="E16" t="s">
        <v>17</v>
      </c>
      <c r="F16" t="s">
        <v>58</v>
      </c>
      <c r="G16" t="s">
        <v>59</v>
      </c>
      <c r="H16" t="s">
        <v>60</v>
      </c>
      <c r="I16" t="s">
        <v>61</v>
      </c>
      <c r="J16" t="s">
        <v>62</v>
      </c>
      <c r="K16" t="s">
        <v>42</v>
      </c>
    </row>
    <row r="17" spans="2:11" x14ac:dyDescent="0.3">
      <c r="B17" t="str">
        <f>'Main Sheet'!B4</f>
        <v>Mobile 1</v>
      </c>
      <c r="C17">
        <f>WSM!O15</f>
        <v>5</v>
      </c>
      <c r="D17">
        <f>WPM!O15</f>
        <v>5</v>
      </c>
      <c r="E17">
        <f>WASPAS!M15</f>
        <v>5</v>
      </c>
      <c r="F17">
        <f>TOPSIS!Q21</f>
        <v>5</v>
      </c>
      <c r="G17">
        <f>VIKOR!R21</f>
        <v>5</v>
      </c>
      <c r="H17">
        <f>SUBTOTAL(9,Table28[[#This Row],[WSM]:[VIKOR]])*$C$4</f>
        <v>5</v>
      </c>
      <c r="I17">
        <f>Table28[[#This Row],[WSM]]^$C$4+Table28[[#This Row],[WPM]]^$C$4+Table28[[#This Row],[WASPAS]]^$C$4+Table28[[#This Row],[TOPSIS]]^$C$4+Table28[[#This Row],[VIKOR]]^$C$4</f>
        <v>6.8986483073060745</v>
      </c>
      <c r="J17">
        <f>SUM(Table28[[#This Row],[WSM1]:[WPM1]])*$H$4</f>
        <v>5.9493241536530377</v>
      </c>
      <c r="K17">
        <f>RANK(Table28[[#This Row],[WASPAS1]],Table28[WASPAS1],1)</f>
        <v>5</v>
      </c>
    </row>
    <row r="18" spans="2:11" x14ac:dyDescent="0.3">
      <c r="B18" t="str">
        <f>'Main Sheet'!B5</f>
        <v>Mobile 2</v>
      </c>
      <c r="C18">
        <f>WSM!O16</f>
        <v>3</v>
      </c>
      <c r="D18">
        <f>WPM!O16</f>
        <v>3</v>
      </c>
      <c r="E18">
        <f>WASPAS!M16</f>
        <v>3</v>
      </c>
      <c r="F18">
        <f>TOPSIS!Q22</f>
        <v>3</v>
      </c>
      <c r="G18">
        <f>VIKOR!R22</f>
        <v>3</v>
      </c>
      <c r="H18">
        <f>SUBTOTAL(9,Table28[[#This Row],[WSM]:[VIKOR]])*$C$4</f>
        <v>3</v>
      </c>
      <c r="I18">
        <f>Table28[[#This Row],[WSM]]^$C$4+Table28[[#This Row],[WPM]]^$C$4+Table28[[#This Row],[WASPAS]]^$C$4+Table28[[#This Row],[TOPSIS]]^$C$4+Table28[[#This Row],[VIKOR]]^$C$4</f>
        <v>6.2286546980775874</v>
      </c>
      <c r="J18">
        <f>SUM(Table28[[#This Row],[WSM1]:[WPM1]])*$H$4</f>
        <v>4.6143273490387937</v>
      </c>
      <c r="K18">
        <f>RANK(Table28[[#This Row],[WASPAS1]],Table28[WASPAS1],1)</f>
        <v>3</v>
      </c>
    </row>
    <row r="19" spans="2:11" x14ac:dyDescent="0.3">
      <c r="B19" t="str">
        <f>'Main Sheet'!B6</f>
        <v>Mobile 3</v>
      </c>
      <c r="C19">
        <f>WSM!O17</f>
        <v>4</v>
      </c>
      <c r="D19">
        <f>WPM!O17</f>
        <v>4</v>
      </c>
      <c r="E19">
        <f>WASPAS!M17</f>
        <v>4</v>
      </c>
      <c r="F19">
        <f>TOPSIS!Q23</f>
        <v>4</v>
      </c>
      <c r="G19">
        <f>VIKOR!R23</f>
        <v>4</v>
      </c>
      <c r="H19">
        <f>SUBTOTAL(9,Table28[[#This Row],[WSM]:[VIKOR]])*$C$4</f>
        <v>4</v>
      </c>
      <c r="I19">
        <f>Table28[[#This Row],[WSM]]^$C$4+Table28[[#This Row],[WPM]]^$C$4+Table28[[#This Row],[WASPAS]]^$C$4+Table28[[#This Row],[TOPSIS]]^$C$4+Table28[[#This Row],[VIKOR]]^$C$4</f>
        <v>6.597539553864471</v>
      </c>
      <c r="J19">
        <f>SUM(Table28[[#This Row],[WSM1]:[WPM1]])*$H$4</f>
        <v>5.2987697769322359</v>
      </c>
      <c r="K19">
        <f>RANK(Table28[[#This Row],[WASPAS1]],Table28[WASPAS1],1)</f>
        <v>4</v>
      </c>
    </row>
    <row r="20" spans="2:11" x14ac:dyDescent="0.3">
      <c r="B20" t="str">
        <f>'Main Sheet'!B7</f>
        <v>Mobile 4</v>
      </c>
      <c r="C20">
        <f>WSM!O18</f>
        <v>1</v>
      </c>
      <c r="D20">
        <f>WPM!O18</f>
        <v>2</v>
      </c>
      <c r="E20">
        <f>WASPAS!M18</f>
        <v>1</v>
      </c>
      <c r="F20">
        <f>TOPSIS!Q24</f>
        <v>1</v>
      </c>
      <c r="G20">
        <f>VIKOR!R24</f>
        <v>2</v>
      </c>
      <c r="H20">
        <f>SUBTOTAL(9,Table28[[#This Row],[WSM]:[VIKOR]])*$C$4</f>
        <v>1.4000000000000001</v>
      </c>
      <c r="I20">
        <f>Table28[[#This Row],[WSM]]^$C$4+Table28[[#This Row],[WPM]]^$C$4+Table28[[#This Row],[WASPAS]]^$C$4+Table28[[#This Row],[TOPSIS]]^$C$4+Table28[[#This Row],[VIKOR]]^$C$4</f>
        <v>5.2973967099940698</v>
      </c>
      <c r="J20">
        <f>SUM(Table28[[#This Row],[WSM1]:[WPM1]])*$H$4</f>
        <v>3.3486983549970351</v>
      </c>
      <c r="K20">
        <f>RANK(Table28[[#This Row],[WASPAS1]],Table28[WASPAS1],1)</f>
        <v>1</v>
      </c>
    </row>
    <row r="21" spans="2:11" x14ac:dyDescent="0.3">
      <c r="B21" t="str">
        <f>'Main Sheet'!B8</f>
        <v>Mobile 5</v>
      </c>
      <c r="C21">
        <f>WSM!O19</f>
        <v>2</v>
      </c>
      <c r="D21">
        <f>WPM!O19</f>
        <v>1</v>
      </c>
      <c r="E21">
        <f>WASPAS!M19</f>
        <v>2</v>
      </c>
      <c r="F21">
        <f>TOPSIS!Q25</f>
        <v>2</v>
      </c>
      <c r="G21">
        <f>VIKOR!R25</f>
        <v>1</v>
      </c>
      <c r="H21">
        <f>SUBTOTAL(9,Table28[[#This Row],[WSM]:[VIKOR]])*$C$4</f>
        <v>1.6</v>
      </c>
      <c r="I21">
        <f>Table28[[#This Row],[WSM]]^$C$4+Table28[[#This Row],[WPM]]^$C$4+Table28[[#This Row],[WASPAS]]^$C$4+Table28[[#This Row],[TOPSIS]]^$C$4+Table28[[#This Row],[VIKOR]]^$C$4</f>
        <v>5.4460950649911046</v>
      </c>
      <c r="J21">
        <f>SUM(Table28[[#This Row],[WSM1]:[WPM1]])*$H$4</f>
        <v>3.5230475324955526</v>
      </c>
      <c r="K21">
        <f>RANK(Table28[[#This Row],[WASPAS1]],Table28[WASPAS1],1)</f>
        <v>2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 Sheet</vt:lpstr>
      <vt:lpstr>Normalisation</vt:lpstr>
      <vt:lpstr>Entropy</vt:lpstr>
      <vt:lpstr>WSM</vt:lpstr>
      <vt:lpstr>WPM</vt:lpstr>
      <vt:lpstr>WASPAS</vt:lpstr>
      <vt:lpstr>TOPSIS</vt:lpstr>
      <vt:lpstr>VIKOR</vt:lpstr>
      <vt:lpstr>Average of all 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</dc:creator>
  <cp:lastModifiedBy>Paras Kore</cp:lastModifiedBy>
  <dcterms:created xsi:type="dcterms:W3CDTF">2015-06-05T18:17:20Z</dcterms:created>
  <dcterms:modified xsi:type="dcterms:W3CDTF">2024-08-09T09:52:27Z</dcterms:modified>
</cp:coreProperties>
</file>