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tegon\MCDM\"/>
    </mc:Choice>
  </mc:AlternateContent>
  <xr:revisionPtr revIDLastSave="0" documentId="13_ncr:1_{A04FAA61-6812-4DAE-BEBF-09B5380853B7}" xr6:coauthVersionLast="47" xr6:coauthVersionMax="47" xr10:uidLastSave="{00000000-0000-0000-0000-000000000000}"/>
  <bookViews>
    <workbookView xWindow="-108" yWindow="-108" windowWidth="23256" windowHeight="13176" tabRatio="665" activeTab="4" xr2:uid="{D9313CD4-E6EB-4E32-8463-5061D55319E4}"/>
  </bookViews>
  <sheets>
    <sheet name="MAIN SHEET" sheetId="1" r:id="rId1"/>
    <sheet name="Normalisation" sheetId="10" r:id="rId2"/>
    <sheet name="Entropy" sheetId="8" r:id="rId3"/>
    <sheet name="WSM" sheetId="4" r:id="rId4"/>
    <sheet name="WPM" sheetId="5" r:id="rId5"/>
    <sheet name="WASPAS" sheetId="3" r:id="rId6"/>
    <sheet name="TOPSIS" sheetId="2" r:id="rId7"/>
    <sheet name="VIKOR" sheetId="6" r:id="rId8"/>
    <sheet name="Average of all methods" sheetId="9" r:id="rId9"/>
    <sheet name="ROUGH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5" l="1"/>
  <c r="M25" i="1"/>
  <c r="M26" i="1"/>
  <c r="M28" i="1"/>
  <c r="M24" i="1"/>
  <c r="D14" i="6"/>
  <c r="D13" i="6"/>
  <c r="C14" i="6"/>
  <c r="C13" i="6"/>
  <c r="B14" i="6"/>
  <c r="B13" i="6"/>
  <c r="C8" i="10"/>
  <c r="C9" i="10" s="1"/>
  <c r="K3" i="10" s="1"/>
  <c r="D8" i="10"/>
  <c r="D9" i="10" s="1"/>
  <c r="L7" i="10" s="1"/>
  <c r="B8" i="10"/>
  <c r="B9" i="10" s="1"/>
  <c r="J5" i="10" s="1"/>
  <c r="E23" i="8"/>
  <c r="E22" i="8"/>
  <c r="A18" i="9"/>
  <c r="A19" i="9"/>
  <c r="A20" i="9"/>
  <c r="A21" i="9"/>
  <c r="A22" i="9"/>
  <c r="A8" i="9"/>
  <c r="A9" i="9"/>
  <c r="A10" i="9"/>
  <c r="A11" i="9"/>
  <c r="A12" i="9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A4" i="6"/>
  <c r="E3" i="6"/>
  <c r="D3" i="6"/>
  <c r="C3" i="6"/>
  <c r="B3" i="6"/>
  <c r="A3" i="6"/>
  <c r="A2" i="6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A4" i="2"/>
  <c r="E3" i="2"/>
  <c r="D3" i="2"/>
  <c r="C3" i="2"/>
  <c r="B3" i="2"/>
  <c r="A3" i="2"/>
  <c r="A2" i="2"/>
  <c r="D11" i="4"/>
  <c r="C11" i="4"/>
  <c r="B11" i="4"/>
  <c r="A11" i="4"/>
  <c r="H11" i="4" s="1"/>
  <c r="H21" i="4" s="1"/>
  <c r="D10" i="4"/>
  <c r="C10" i="4"/>
  <c r="B10" i="4"/>
  <c r="A10" i="4"/>
  <c r="H10" i="4" s="1"/>
  <c r="H20" i="4" s="1"/>
  <c r="D9" i="4"/>
  <c r="C9" i="4"/>
  <c r="B9" i="4"/>
  <c r="A9" i="4"/>
  <c r="H9" i="4" s="1"/>
  <c r="H19" i="4" s="1"/>
  <c r="D8" i="4"/>
  <c r="C8" i="4"/>
  <c r="B8" i="4"/>
  <c r="A8" i="4"/>
  <c r="H8" i="4" s="1"/>
  <c r="H18" i="4" s="1"/>
  <c r="D7" i="4"/>
  <c r="C7" i="4"/>
  <c r="B7" i="4"/>
  <c r="A7" i="4"/>
  <c r="H7" i="4" s="1"/>
  <c r="H17" i="4" s="1"/>
  <c r="A4" i="4"/>
  <c r="E3" i="4"/>
  <c r="D3" i="4"/>
  <c r="C3" i="4"/>
  <c r="B3" i="4"/>
  <c r="A3" i="4"/>
  <c r="A2" i="4"/>
  <c r="D13" i="4" l="1"/>
  <c r="J8" i="6"/>
  <c r="K9" i="6"/>
  <c r="J3" i="10"/>
  <c r="I17" i="5" s="1"/>
  <c r="L5" i="10"/>
  <c r="J11" i="10"/>
  <c r="K13" i="10"/>
  <c r="J9" i="4" s="1"/>
  <c r="I9" i="5"/>
  <c r="I19" i="5" s="1"/>
  <c r="I9" i="4"/>
  <c r="J4" i="10"/>
  <c r="L6" i="10"/>
  <c r="K14" i="10"/>
  <c r="L12" i="10"/>
  <c r="K7" i="10"/>
  <c r="L4" i="10"/>
  <c r="J15" i="10"/>
  <c r="K12" i="10"/>
  <c r="K6" i="10"/>
  <c r="L3" i="10"/>
  <c r="J14" i="10"/>
  <c r="L11" i="10"/>
  <c r="K5" i="10"/>
  <c r="J13" i="10"/>
  <c r="J7" i="10"/>
  <c r="K4" i="10"/>
  <c r="J12" i="10"/>
  <c r="L15" i="10"/>
  <c r="J6" i="10"/>
  <c r="K11" i="10"/>
  <c r="L14" i="10"/>
  <c r="K15" i="10"/>
  <c r="L13" i="10"/>
  <c r="B12" i="2"/>
  <c r="K11" i="2" s="1"/>
  <c r="B13" i="4"/>
  <c r="C13" i="4"/>
  <c r="I7" i="6"/>
  <c r="I20" i="6" s="1"/>
  <c r="I8" i="6"/>
  <c r="I21" i="6" s="1"/>
  <c r="B12" i="4"/>
  <c r="I9" i="6"/>
  <c r="I22" i="6" s="1"/>
  <c r="I10" i="6"/>
  <c r="I23" i="6" s="1"/>
  <c r="I11" i="6"/>
  <c r="I24" i="6" s="1"/>
  <c r="K7" i="6"/>
  <c r="L11" i="6"/>
  <c r="J10" i="6"/>
  <c r="K10" i="6"/>
  <c r="J11" i="6"/>
  <c r="K8" i="6"/>
  <c r="J9" i="6"/>
  <c r="L10" i="6"/>
  <c r="J7" i="6"/>
  <c r="K11" i="6"/>
  <c r="C12" i="2"/>
  <c r="D12" i="2"/>
  <c r="C12" i="4"/>
  <c r="D12" i="4"/>
  <c r="K7" i="2" l="1"/>
  <c r="K8" i="2"/>
  <c r="K9" i="2"/>
  <c r="K10" i="2"/>
  <c r="I7" i="4"/>
  <c r="I17" i="4" s="1"/>
  <c r="J9" i="5"/>
  <c r="J19" i="5" s="1"/>
  <c r="K7" i="4"/>
  <c r="K17" i="4" s="1"/>
  <c r="K7" i="5"/>
  <c r="K17" i="5" s="1"/>
  <c r="K9" i="4"/>
  <c r="K9" i="5"/>
  <c r="J11" i="5"/>
  <c r="J21" i="5" s="1"/>
  <c r="J11" i="4"/>
  <c r="J21" i="4" s="1"/>
  <c r="K8" i="4"/>
  <c r="K18" i="4" s="1"/>
  <c r="K8" i="5"/>
  <c r="K18" i="5" s="1"/>
  <c r="K10" i="5"/>
  <c r="K20" i="5" s="1"/>
  <c r="K10" i="4"/>
  <c r="K20" i="4" s="1"/>
  <c r="I11" i="4"/>
  <c r="I21" i="4" s="1"/>
  <c r="I11" i="5"/>
  <c r="J10" i="4"/>
  <c r="J20" i="4" s="1"/>
  <c r="J10" i="5"/>
  <c r="J20" i="5" s="1"/>
  <c r="J7" i="5"/>
  <c r="J7" i="4"/>
  <c r="J8" i="5"/>
  <c r="J18" i="5" s="1"/>
  <c r="J8" i="4"/>
  <c r="J18" i="4" s="1"/>
  <c r="I8" i="5"/>
  <c r="I8" i="4"/>
  <c r="I18" i="4" s="1"/>
  <c r="I10" i="5"/>
  <c r="I10" i="4"/>
  <c r="I20" i="4" s="1"/>
  <c r="K11" i="5"/>
  <c r="K21" i="5" s="1"/>
  <c r="K11" i="4"/>
  <c r="K21" i="4" s="1"/>
  <c r="L7" i="6"/>
  <c r="L9" i="6"/>
  <c r="L8" i="6"/>
  <c r="M11" i="2"/>
  <c r="L11" i="2"/>
  <c r="M10" i="2"/>
  <c r="M7" i="2"/>
  <c r="M9" i="2"/>
  <c r="L7" i="2"/>
  <c r="L10" i="2"/>
  <c r="L8" i="2"/>
  <c r="M8" i="2"/>
  <c r="L9" i="2"/>
  <c r="I19" i="4"/>
  <c r="K19" i="4"/>
  <c r="J17" i="4"/>
  <c r="J19" i="4"/>
  <c r="K14" i="2" l="1"/>
  <c r="K13" i="2"/>
  <c r="I20" i="5"/>
  <c r="I21" i="5"/>
  <c r="I18" i="5"/>
  <c r="J17" i="5"/>
  <c r="K19" i="5"/>
  <c r="M14" i="2"/>
  <c r="M13" i="2"/>
  <c r="L14" i="2"/>
  <c r="L13" i="2"/>
  <c r="D8" i="3" l="1"/>
  <c r="D9" i="3"/>
  <c r="D10" i="3"/>
  <c r="D11" i="3"/>
  <c r="C8" i="3"/>
  <c r="C9" i="3"/>
  <c r="C10" i="3"/>
  <c r="C11" i="3"/>
  <c r="D7" i="3"/>
  <c r="C7" i="3"/>
  <c r="B7" i="3"/>
  <c r="B8" i="3"/>
  <c r="B9" i="3"/>
  <c r="B10" i="3"/>
  <c r="B11" i="3"/>
  <c r="A7" i="3"/>
  <c r="I7" i="3" s="1"/>
  <c r="I17" i="3" s="1"/>
  <c r="A8" i="3"/>
  <c r="I8" i="3" s="1"/>
  <c r="I18" i="3" s="1"/>
  <c r="A9" i="3"/>
  <c r="I9" i="3" s="1"/>
  <c r="I19" i="3" s="1"/>
  <c r="A10" i="3"/>
  <c r="I10" i="3" s="1"/>
  <c r="I20" i="3" s="1"/>
  <c r="A11" i="3"/>
  <c r="I11" i="3" s="1"/>
  <c r="I21" i="3" s="1"/>
  <c r="A3" i="3"/>
  <c r="B3" i="3"/>
  <c r="C3" i="3"/>
  <c r="D3" i="3"/>
  <c r="E3" i="3"/>
  <c r="A4" i="3"/>
  <c r="A2" i="3"/>
  <c r="C2" i="8"/>
  <c r="D2" i="8"/>
  <c r="E2" i="8"/>
  <c r="B2" i="8"/>
  <c r="F4" i="1"/>
  <c r="M15" i="1" s="1"/>
  <c r="F5" i="1"/>
  <c r="M16" i="1" s="1"/>
  <c r="F6" i="1"/>
  <c r="F7" i="1"/>
  <c r="M27" i="1" s="1"/>
  <c r="F8" i="1"/>
  <c r="D5" i="8"/>
  <c r="D6" i="8"/>
  <c r="D7" i="8"/>
  <c r="D8" i="8"/>
  <c r="C5" i="8"/>
  <c r="C6" i="8"/>
  <c r="C7" i="8"/>
  <c r="C8" i="8"/>
  <c r="B5" i="8"/>
  <c r="B6" i="8"/>
  <c r="B7" i="8"/>
  <c r="B8" i="8"/>
  <c r="B4" i="8"/>
  <c r="C4" i="8"/>
  <c r="D4" i="8"/>
  <c r="A5" i="8"/>
  <c r="I5" i="8" s="1"/>
  <c r="I13" i="8" s="1"/>
  <c r="A6" i="8"/>
  <c r="A7" i="8"/>
  <c r="A8" i="8"/>
  <c r="A4" i="8"/>
  <c r="K2" i="1"/>
  <c r="C2" i="3" s="1"/>
  <c r="L2" i="1"/>
  <c r="M2" i="1"/>
  <c r="J2" i="1"/>
  <c r="D10" i="1"/>
  <c r="C10" i="1"/>
  <c r="B10" i="1"/>
  <c r="D9" i="1"/>
  <c r="C9" i="1"/>
  <c r="B9" i="1"/>
  <c r="E7" i="10" l="1"/>
  <c r="M19" i="1"/>
  <c r="E6" i="10"/>
  <c r="M18" i="1"/>
  <c r="E5" i="10"/>
  <c r="M17" i="1"/>
  <c r="B2" i="6"/>
  <c r="B2" i="4"/>
  <c r="B2" i="2"/>
  <c r="E2" i="4"/>
  <c r="E2" i="2"/>
  <c r="E2" i="6"/>
  <c r="D2" i="6"/>
  <c r="D2" i="4"/>
  <c r="D2" i="2"/>
  <c r="D2" i="3"/>
  <c r="E8" i="6"/>
  <c r="E4" i="10"/>
  <c r="E7" i="6"/>
  <c r="E3" i="10"/>
  <c r="B2" i="3"/>
  <c r="C2" i="2"/>
  <c r="C2" i="6"/>
  <c r="C2" i="4"/>
  <c r="E2" i="3"/>
  <c r="E6" i="8"/>
  <c r="E9" i="6"/>
  <c r="B12" i="3"/>
  <c r="C13" i="3"/>
  <c r="D12" i="3"/>
  <c r="E8" i="8"/>
  <c r="E11" i="6"/>
  <c r="E7" i="8"/>
  <c r="E10" i="6"/>
  <c r="F10" i="1"/>
  <c r="E9" i="10" s="1"/>
  <c r="E11" i="3"/>
  <c r="E10" i="3"/>
  <c r="E8" i="2"/>
  <c r="E8" i="4"/>
  <c r="E9" i="3"/>
  <c r="E8" i="3"/>
  <c r="E11" i="2"/>
  <c r="E11" i="4"/>
  <c r="E5" i="8"/>
  <c r="E10" i="2"/>
  <c r="E10" i="4"/>
  <c r="E9" i="4"/>
  <c r="E9" i="2"/>
  <c r="E7" i="3"/>
  <c r="E4" i="8"/>
  <c r="E7" i="4"/>
  <c r="E7" i="2"/>
  <c r="F9" i="1"/>
  <c r="E8" i="10" s="1"/>
  <c r="E13" i="6" s="1"/>
  <c r="C12" i="3"/>
  <c r="B13" i="3"/>
  <c r="D13" i="3"/>
  <c r="D9" i="8"/>
  <c r="L4" i="8" s="1"/>
  <c r="L12" i="8" s="1"/>
  <c r="I4" i="8"/>
  <c r="I12" i="8" s="1"/>
  <c r="A13" i="8"/>
  <c r="Q4" i="8"/>
  <c r="Q8" i="8"/>
  <c r="A17" i="8"/>
  <c r="I7" i="8"/>
  <c r="I15" i="8" s="1"/>
  <c r="Q7" i="8"/>
  <c r="A16" i="8"/>
  <c r="I6" i="8"/>
  <c r="I14" i="8" s="1"/>
  <c r="A15" i="8"/>
  <c r="Q6" i="8"/>
  <c r="Q5" i="8"/>
  <c r="A14" i="8"/>
  <c r="I8" i="8"/>
  <c r="I16" i="8" s="1"/>
  <c r="C9" i="8"/>
  <c r="K7" i="8" s="1"/>
  <c r="K15" i="8" s="1"/>
  <c r="B9" i="8"/>
  <c r="M14" i="10" l="1"/>
  <c r="L10" i="4" s="1"/>
  <c r="M12" i="10"/>
  <c r="L8" i="5" s="1"/>
  <c r="M13" i="10"/>
  <c r="M15" i="10"/>
  <c r="E14" i="6"/>
  <c r="M8" i="6" s="1"/>
  <c r="M7" i="10"/>
  <c r="M5" i="10"/>
  <c r="M4" i="10"/>
  <c r="M3" i="10"/>
  <c r="M6" i="10"/>
  <c r="M11" i="10"/>
  <c r="E9" i="8"/>
  <c r="M7" i="8" s="1"/>
  <c r="M15" i="8" s="1"/>
  <c r="M7" i="6"/>
  <c r="E12" i="2"/>
  <c r="E13" i="4"/>
  <c r="E12" i="4"/>
  <c r="E13" i="3"/>
  <c r="E12" i="3"/>
  <c r="L8" i="8"/>
  <c r="L16" i="8" s="1"/>
  <c r="L6" i="8"/>
  <c r="L14" i="8" s="1"/>
  <c r="L7" i="8"/>
  <c r="L15" i="8" s="1"/>
  <c r="L5" i="8"/>
  <c r="L13" i="8" s="1"/>
  <c r="L18" i="8" s="1"/>
  <c r="K4" i="8"/>
  <c r="K12" i="8" s="1"/>
  <c r="K8" i="8"/>
  <c r="K16" i="8" s="1"/>
  <c r="K5" i="8"/>
  <c r="K13" i="8" s="1"/>
  <c r="K6" i="8"/>
  <c r="K14" i="8" s="1"/>
  <c r="J4" i="8"/>
  <c r="J8" i="8"/>
  <c r="J16" i="8" s="1"/>
  <c r="J5" i="8"/>
  <c r="J13" i="8" s="1"/>
  <c r="J6" i="8"/>
  <c r="J14" i="8" s="1"/>
  <c r="J7" i="8"/>
  <c r="J15" i="8" s="1"/>
  <c r="L10" i="5" l="1"/>
  <c r="M10" i="5" s="1"/>
  <c r="L8" i="4"/>
  <c r="M9" i="6"/>
  <c r="L20" i="5"/>
  <c r="M20" i="5" s="1"/>
  <c r="M11" i="6"/>
  <c r="N11" i="6" s="1"/>
  <c r="M10" i="6"/>
  <c r="N10" i="6" s="1"/>
  <c r="L18" i="5"/>
  <c r="M18" i="5" s="1"/>
  <c r="M8" i="5"/>
  <c r="L11" i="4"/>
  <c r="L11" i="5"/>
  <c r="L7" i="4"/>
  <c r="M7" i="4" s="1"/>
  <c r="L7" i="5"/>
  <c r="L9" i="4"/>
  <c r="L9" i="5"/>
  <c r="M4" i="8"/>
  <c r="M12" i="8" s="1"/>
  <c r="M8" i="8"/>
  <c r="M16" i="8" s="1"/>
  <c r="M5" i="8"/>
  <c r="M13" i="8" s="1"/>
  <c r="N7" i="6"/>
  <c r="O7" i="6"/>
  <c r="O8" i="6"/>
  <c r="N8" i="6"/>
  <c r="O9" i="6"/>
  <c r="N9" i="6"/>
  <c r="M6" i="8"/>
  <c r="M14" i="8" s="1"/>
  <c r="N7" i="2"/>
  <c r="N8" i="2"/>
  <c r="N10" i="2"/>
  <c r="N9" i="2"/>
  <c r="N11" i="2"/>
  <c r="K18" i="8"/>
  <c r="H1" i="8"/>
  <c r="J12" i="8"/>
  <c r="J18" i="8" s="1"/>
  <c r="L17" i="4" l="1"/>
  <c r="M18" i="8"/>
  <c r="O10" i="6"/>
  <c r="O11" i="6"/>
  <c r="H2" i="8"/>
  <c r="M19" i="8" s="1"/>
  <c r="M20" i="8" s="1"/>
  <c r="K18" i="3"/>
  <c r="C14" i="8"/>
  <c r="K8" i="3"/>
  <c r="L19" i="5"/>
  <c r="M19" i="5" s="1"/>
  <c r="M9" i="5"/>
  <c r="N8" i="5" s="1"/>
  <c r="C9" i="9" s="1"/>
  <c r="L17" i="5"/>
  <c r="M17" i="5" s="1"/>
  <c r="M7" i="5"/>
  <c r="K10" i="3"/>
  <c r="C16" i="8"/>
  <c r="K20" i="3"/>
  <c r="L21" i="5"/>
  <c r="M21" i="5" s="1"/>
  <c r="M11" i="5"/>
  <c r="S3" i="6"/>
  <c r="Q3" i="6"/>
  <c r="L21" i="4"/>
  <c r="M11" i="4"/>
  <c r="N13" i="2"/>
  <c r="N14" i="2"/>
  <c r="J7" i="3"/>
  <c r="L18" i="4"/>
  <c r="M8" i="4"/>
  <c r="L19" i="4"/>
  <c r="M9" i="4"/>
  <c r="L20" i="4"/>
  <c r="M10" i="4"/>
  <c r="K19" i="8" l="1"/>
  <c r="K20" i="8" s="1"/>
  <c r="L19" i="8"/>
  <c r="L20" i="8" s="1"/>
  <c r="P3" i="6"/>
  <c r="J19" i="8"/>
  <c r="J20" i="8" s="1"/>
  <c r="R3" i="6"/>
  <c r="P8" i="6" s="1"/>
  <c r="N10" i="5"/>
  <c r="C11" i="9" s="1"/>
  <c r="N18" i="5"/>
  <c r="C19" i="9" s="1"/>
  <c r="N20" i="5"/>
  <c r="C21" i="9" s="1"/>
  <c r="K7" i="3"/>
  <c r="L7" i="3" s="1"/>
  <c r="N7" i="5"/>
  <c r="C8" i="9" s="1"/>
  <c r="C15" i="8"/>
  <c r="N19" i="5"/>
  <c r="C20" i="9" s="1"/>
  <c r="K19" i="3"/>
  <c r="N11" i="5"/>
  <c r="C12" i="9" s="1"/>
  <c r="K11" i="3"/>
  <c r="K17" i="3"/>
  <c r="C13" i="8"/>
  <c r="N17" i="5"/>
  <c r="C18" i="9" s="1"/>
  <c r="C17" i="8"/>
  <c r="N21" i="5"/>
  <c r="C22" i="9" s="1"/>
  <c r="K21" i="3"/>
  <c r="K9" i="3"/>
  <c r="N9" i="5"/>
  <c r="C10" i="9" s="1"/>
  <c r="N7" i="4"/>
  <c r="B8" i="9" s="1"/>
  <c r="J8" i="3"/>
  <c r="L8" i="3" s="1"/>
  <c r="N8" i="4"/>
  <c r="B9" i="9" s="1"/>
  <c r="N10" i="4"/>
  <c r="B11" i="9" s="1"/>
  <c r="J10" i="3"/>
  <c r="L10" i="3" s="1"/>
  <c r="O11" i="2"/>
  <c r="O9" i="2"/>
  <c r="O10" i="2"/>
  <c r="O8" i="2"/>
  <c r="O7" i="2"/>
  <c r="N11" i="4"/>
  <c r="B12" i="9" s="1"/>
  <c r="J11" i="3"/>
  <c r="P10" i="2"/>
  <c r="P11" i="2"/>
  <c r="P7" i="2"/>
  <c r="P9" i="2"/>
  <c r="P8" i="2"/>
  <c r="J9" i="3"/>
  <c r="N9" i="4"/>
  <c r="B10" i="9" s="1"/>
  <c r="L9" i="3" l="1"/>
  <c r="N20" i="8"/>
  <c r="J21" i="8" s="1"/>
  <c r="J4" i="1" s="1"/>
  <c r="P10" i="6"/>
  <c r="P7" i="6"/>
  <c r="P9" i="6"/>
  <c r="P11" i="6"/>
  <c r="Q11" i="6" s="1"/>
  <c r="F12" i="9" s="1"/>
  <c r="L11" i="3"/>
  <c r="M8" i="3" s="1"/>
  <c r="D9" i="9" s="1"/>
  <c r="C18" i="8"/>
  <c r="Q9" i="2"/>
  <c r="Q10" i="2"/>
  <c r="Q11" i="2"/>
  <c r="Q7" i="2"/>
  <c r="M7" i="3"/>
  <c r="D8" i="9" s="1"/>
  <c r="Q8" i="2"/>
  <c r="M9" i="3" l="1"/>
  <c r="D10" i="9" s="1"/>
  <c r="M11" i="3"/>
  <c r="D12" i="9" s="1"/>
  <c r="M10" i="3"/>
  <c r="D11" i="9" s="1"/>
  <c r="K21" i="8"/>
  <c r="K4" i="1" s="1"/>
  <c r="M21" i="8"/>
  <c r="M4" i="1" s="1"/>
  <c r="L21" i="8"/>
  <c r="L4" i="1" s="1"/>
  <c r="D4" i="6" s="1"/>
  <c r="L21" i="6" s="1"/>
  <c r="Q7" i="6"/>
  <c r="F8" i="9" s="1"/>
  <c r="Q9" i="6"/>
  <c r="F10" i="9" s="1"/>
  <c r="Q10" i="6"/>
  <c r="F11" i="9" s="1"/>
  <c r="Q8" i="6"/>
  <c r="F9" i="9" s="1"/>
  <c r="S4" i="8"/>
  <c r="S12" i="8" s="1"/>
  <c r="S7" i="8"/>
  <c r="S15" i="8" s="1"/>
  <c r="S5" i="8"/>
  <c r="S13" i="8" s="1"/>
  <c r="S6" i="8"/>
  <c r="S14" i="8" s="1"/>
  <c r="S8" i="8"/>
  <c r="S16" i="8" s="1"/>
  <c r="C4" i="2"/>
  <c r="L22" i="2" s="1"/>
  <c r="C4" i="6"/>
  <c r="E4" i="2"/>
  <c r="N23" i="2" s="1"/>
  <c r="E4" i="6"/>
  <c r="L23" i="6"/>
  <c r="L24" i="6"/>
  <c r="B4" i="2"/>
  <c r="K22" i="2" s="1"/>
  <c r="B4" i="6"/>
  <c r="R8" i="2"/>
  <c r="E9" i="9" s="1"/>
  <c r="R10" i="2"/>
  <c r="E11" i="9" s="1"/>
  <c r="D4" i="4"/>
  <c r="D4" i="2"/>
  <c r="R9" i="2"/>
  <c r="E10" i="9" s="1"/>
  <c r="R7" i="2"/>
  <c r="E8" i="9" s="1"/>
  <c r="R11" i="2"/>
  <c r="E12" i="9" s="1"/>
  <c r="H12" i="9" s="1"/>
  <c r="D4" i="3"/>
  <c r="N21" i="8"/>
  <c r="C4" i="4"/>
  <c r="C4" i="3"/>
  <c r="B4" i="4"/>
  <c r="B4" i="3"/>
  <c r="E4" i="4"/>
  <c r="E4" i="3"/>
  <c r="H8" i="9" l="1"/>
  <c r="L22" i="6"/>
  <c r="H10" i="9"/>
  <c r="L20" i="6"/>
  <c r="G11" i="9"/>
  <c r="G9" i="9"/>
  <c r="N20" i="2"/>
  <c r="N22" i="2"/>
  <c r="N24" i="2"/>
  <c r="N21" i="2"/>
  <c r="S18" i="8"/>
  <c r="S19" i="8" s="1"/>
  <c r="S20" i="8" s="1"/>
  <c r="H9" i="9"/>
  <c r="G10" i="9"/>
  <c r="I10" i="9" s="1"/>
  <c r="H11" i="9"/>
  <c r="G12" i="9"/>
  <c r="I12" i="9" s="1"/>
  <c r="G8" i="9"/>
  <c r="I8" i="9" s="1"/>
  <c r="K23" i="2"/>
  <c r="K21" i="2"/>
  <c r="K20" i="2"/>
  <c r="K24" i="2"/>
  <c r="L24" i="2"/>
  <c r="L23" i="2"/>
  <c r="L21" i="2"/>
  <c r="L20" i="2"/>
  <c r="M24" i="6"/>
  <c r="M23" i="6"/>
  <c r="M22" i="6"/>
  <c r="M21" i="6"/>
  <c r="M20" i="6"/>
  <c r="J22" i="6"/>
  <c r="J20" i="6"/>
  <c r="J21" i="6"/>
  <c r="J23" i="6"/>
  <c r="J24" i="6"/>
  <c r="K20" i="6"/>
  <c r="K24" i="6"/>
  <c r="K23" i="6"/>
  <c r="K21" i="6"/>
  <c r="K22" i="6"/>
  <c r="M20" i="2"/>
  <c r="M21" i="2"/>
  <c r="M24" i="2"/>
  <c r="M22" i="2"/>
  <c r="M23" i="2"/>
  <c r="M17" i="4"/>
  <c r="M18" i="4"/>
  <c r="M21" i="4"/>
  <c r="M19" i="4"/>
  <c r="M20" i="4"/>
  <c r="I9" i="9" l="1"/>
  <c r="I11" i="9"/>
  <c r="J12" i="9" s="1"/>
  <c r="N19" i="1" s="1"/>
  <c r="N27" i="2"/>
  <c r="N26" i="2"/>
  <c r="J11" i="9"/>
  <c r="N18" i="1" s="1"/>
  <c r="J8" i="9"/>
  <c r="N15" i="1" s="1"/>
  <c r="J10" i="9"/>
  <c r="N17" i="1" s="1"/>
  <c r="J9" i="9"/>
  <c r="N16" i="1" s="1"/>
  <c r="K27" i="2"/>
  <c r="K26" i="2"/>
  <c r="L27" i="2"/>
  <c r="O23" i="6"/>
  <c r="N23" i="6"/>
  <c r="N21" i="6"/>
  <c r="O21" i="6"/>
  <c r="L26" i="2"/>
  <c r="O22" i="6"/>
  <c r="N22" i="6"/>
  <c r="O20" i="6"/>
  <c r="N20" i="6"/>
  <c r="N24" i="6"/>
  <c r="O24" i="6"/>
  <c r="M26" i="2"/>
  <c r="M27" i="2"/>
  <c r="J20" i="3"/>
  <c r="B16" i="8"/>
  <c r="N20" i="4"/>
  <c r="B21" i="9" s="1"/>
  <c r="J21" i="3"/>
  <c r="B17" i="8"/>
  <c r="N21" i="4"/>
  <c r="B22" i="9" s="1"/>
  <c r="B14" i="8"/>
  <c r="N18" i="4"/>
  <c r="B19" i="9" s="1"/>
  <c r="J18" i="3"/>
  <c r="J19" i="3"/>
  <c r="N19" i="4"/>
  <c r="B20" i="9" s="1"/>
  <c r="B15" i="8"/>
  <c r="N17" i="4"/>
  <c r="B18" i="9" s="1"/>
  <c r="J17" i="3"/>
  <c r="B13" i="8"/>
  <c r="O22" i="2" l="1"/>
  <c r="P20" i="2"/>
  <c r="O24" i="2"/>
  <c r="S16" i="6"/>
  <c r="Q16" i="6"/>
  <c r="R16" i="6"/>
  <c r="P16" i="6"/>
  <c r="O21" i="2"/>
  <c r="O23" i="2"/>
  <c r="O20" i="2"/>
  <c r="P21" i="2"/>
  <c r="P23" i="2"/>
  <c r="P24" i="2"/>
  <c r="Q24" i="2" s="1"/>
  <c r="P22" i="2"/>
  <c r="B18" i="8"/>
  <c r="R4" i="8" s="1"/>
  <c r="R12" i="8" s="1"/>
  <c r="Q22" i="2" l="1"/>
  <c r="P24" i="6"/>
  <c r="P23" i="6"/>
  <c r="P22" i="6"/>
  <c r="P20" i="6"/>
  <c r="P21" i="6"/>
  <c r="Q20" i="2"/>
  <c r="Q21" i="2"/>
  <c r="Q23" i="2"/>
  <c r="R6" i="8"/>
  <c r="R14" i="8" s="1"/>
  <c r="R5" i="8"/>
  <c r="R13" i="8" s="1"/>
  <c r="R7" i="8"/>
  <c r="R15" i="8" s="1"/>
  <c r="R8" i="8"/>
  <c r="R16" i="8" s="1"/>
  <c r="R22" i="2" l="1"/>
  <c r="E20" i="9" s="1"/>
  <c r="Q21" i="6"/>
  <c r="F19" i="9" s="1"/>
  <c r="R21" i="2"/>
  <c r="E19" i="9" s="1"/>
  <c r="R24" i="2"/>
  <c r="E22" i="9" s="1"/>
  <c r="Q20" i="6"/>
  <c r="F18" i="9" s="1"/>
  <c r="Q22" i="6"/>
  <c r="F20" i="9" s="1"/>
  <c r="Q24" i="6"/>
  <c r="F22" i="9" s="1"/>
  <c r="Q23" i="6"/>
  <c r="F21" i="9" s="1"/>
  <c r="R23" i="2"/>
  <c r="E21" i="9" s="1"/>
  <c r="R20" i="2"/>
  <c r="E18" i="9" s="1"/>
  <c r="R18" i="8"/>
  <c r="R19" i="8" s="1"/>
  <c r="R20" i="8" s="1"/>
  <c r="T20" i="8" s="1"/>
  <c r="S21" i="8" s="1"/>
  <c r="G4" i="3" s="1"/>
  <c r="R21" i="8" l="1"/>
  <c r="F4" i="3" s="1"/>
  <c r="L17" i="3" l="1"/>
  <c r="L18" i="3"/>
  <c r="L21" i="3"/>
  <c r="L19" i="3"/>
  <c r="L20" i="3"/>
  <c r="M18" i="3" l="1"/>
  <c r="D19" i="9" s="1"/>
  <c r="M19" i="3"/>
  <c r="D20" i="9" s="1"/>
  <c r="M21" i="3"/>
  <c r="D22" i="9" s="1"/>
  <c r="M20" i="3"/>
  <c r="D21" i="9" s="1"/>
  <c r="M17" i="3"/>
  <c r="D18" i="9" s="1"/>
  <c r="H22" i="9" l="1"/>
  <c r="G22" i="9"/>
  <c r="G21" i="9"/>
  <c r="H21" i="9"/>
  <c r="H20" i="9"/>
  <c r="G20" i="9"/>
  <c r="H18" i="9"/>
  <c r="G18" i="9"/>
  <c r="H19" i="9"/>
  <c r="G19" i="9"/>
  <c r="I18" i="9" l="1"/>
  <c r="I20" i="9"/>
  <c r="I21" i="9"/>
  <c r="I19" i="9"/>
  <c r="I22" i="9"/>
  <c r="J19" i="9" l="1"/>
  <c r="N25" i="1" s="1"/>
  <c r="J22" i="9"/>
  <c r="N28" i="1" s="1"/>
  <c r="J18" i="9"/>
  <c r="N24" i="1" s="1"/>
  <c r="J21" i="9"/>
  <c r="N27" i="1" s="1"/>
  <c r="J20" i="9"/>
  <c r="N26" i="1" s="1"/>
</calcChain>
</file>

<file path=xl/sharedStrings.xml><?xml version="1.0" encoding="utf-8"?>
<sst xmlns="http://schemas.openxmlformats.org/spreadsheetml/2006/main" count="336" uniqueCount="80">
  <si>
    <t>Atribute/ criteria</t>
  </si>
  <si>
    <t>Price</t>
  </si>
  <si>
    <t>Storage</t>
  </si>
  <si>
    <t>Camera</t>
  </si>
  <si>
    <t>Looks</t>
  </si>
  <si>
    <t>Mobile 1</t>
  </si>
  <si>
    <t>Mobile 2</t>
  </si>
  <si>
    <t>Poor</t>
  </si>
  <si>
    <t>Mobile 3</t>
  </si>
  <si>
    <t>Average</t>
  </si>
  <si>
    <t>Mobile 4</t>
  </si>
  <si>
    <t>Good</t>
  </si>
  <si>
    <t>Mobile 5</t>
  </si>
  <si>
    <t>Very Good</t>
  </si>
  <si>
    <t>Max</t>
  </si>
  <si>
    <t>Min</t>
  </si>
  <si>
    <t>CAT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</si>
  <si>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</si>
  <si>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</si>
  <si>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</si>
  <si>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</si>
  <si>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</si>
  <si>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</si>
  <si>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</si>
  <si>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PRICE</t>
  </si>
  <si>
    <t>QUALITY</t>
  </si>
  <si>
    <t>LEAD TIME</t>
  </si>
  <si>
    <t>RESPONSE</t>
  </si>
  <si>
    <t>Very Poor</t>
  </si>
  <si>
    <t>Worst</t>
  </si>
  <si>
    <t>Wt</t>
  </si>
  <si>
    <t>LOOKS</t>
  </si>
  <si>
    <t>LOOKS2</t>
  </si>
  <si>
    <t>SUM</t>
  </si>
  <si>
    <t>H</t>
  </si>
  <si>
    <t>count</t>
  </si>
  <si>
    <t>ej</t>
  </si>
  <si>
    <t>dj = 1 - ej</t>
  </si>
  <si>
    <t>wj</t>
  </si>
  <si>
    <t>Sum of dj</t>
  </si>
  <si>
    <t>Sum of wj</t>
  </si>
  <si>
    <t>WT (system weightage)</t>
  </si>
  <si>
    <t>WT (your weightage)</t>
  </si>
  <si>
    <t xml:space="preserve">Min </t>
  </si>
  <si>
    <t>WSM</t>
  </si>
  <si>
    <t>YOUR Weightage</t>
  </si>
  <si>
    <t>System Weightage</t>
  </si>
  <si>
    <t>Ranks</t>
  </si>
  <si>
    <t>Your Weightage</t>
  </si>
  <si>
    <t>WPM</t>
  </si>
  <si>
    <t>Rank</t>
  </si>
  <si>
    <t>RANK</t>
  </si>
  <si>
    <t>WASPAS</t>
  </si>
  <si>
    <t xml:space="preserve">wj </t>
  </si>
  <si>
    <t>NORM</t>
  </si>
  <si>
    <t>sqrt(sum of squares)</t>
  </si>
  <si>
    <t>VJ+</t>
  </si>
  <si>
    <t>Vj+</t>
  </si>
  <si>
    <t>VJ-</t>
  </si>
  <si>
    <t>SI+</t>
  </si>
  <si>
    <t>SI-</t>
  </si>
  <si>
    <t>PI</t>
  </si>
  <si>
    <t>Excellent</t>
  </si>
  <si>
    <t>BEST  (XI+)</t>
  </si>
  <si>
    <t>WORST  (XI-)</t>
  </si>
  <si>
    <t>SI</t>
  </si>
  <si>
    <t>RI</t>
  </si>
  <si>
    <t>R*</t>
  </si>
  <si>
    <t>S*</t>
  </si>
  <si>
    <t>R-</t>
  </si>
  <si>
    <t>S-</t>
  </si>
  <si>
    <t>V</t>
  </si>
  <si>
    <t>Qi</t>
  </si>
  <si>
    <t>QI</t>
  </si>
  <si>
    <t>TOPSIS</t>
  </si>
  <si>
    <t>VIKOR</t>
  </si>
  <si>
    <t>WSM2</t>
  </si>
  <si>
    <t>WPM2</t>
  </si>
  <si>
    <t>WASPAS2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</si>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</sst>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\-0.00\ "/>
    <numFmt numFmtId="180" formatCode="0.0000000000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 style="thin">
        <color rgb="FF8EA9DB"/>
      </left>
      <right style="thin">
        <color rgb="FF8EA9DB"/>
      </right>
      <top/>
      <bottom style="thin">
        <color rgb="FF8EA9DB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3" fillId="0" borderId="0" xfId="0" applyFont="1"/>
    <xf numFmtId="0" fontId="0" fillId="0" borderId="0" xfId="0" applyNumberFormat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0" fontId="5" fillId="5" borderId="4" xfId="0" applyFont="1" applyFill="1" applyBorder="1"/>
    <xf numFmtId="0" fontId="5" fillId="5" borderId="5" xfId="0" applyFont="1" applyFill="1" applyBorder="1"/>
    <xf numFmtId="0" fontId="5" fillId="5" borderId="6" xfId="0" applyFont="1" applyFill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/>
    <xf numFmtId="2" fontId="5" fillId="0" borderId="0" xfId="0" applyNumberFormat="1" applyFont="1"/>
    <xf numFmtId="180" fontId="5" fillId="5" borderId="4" xfId="0" applyNumberFormat="1" applyFont="1" applyFill="1" applyBorder="1"/>
    <xf numFmtId="0" fontId="4" fillId="4" borderId="7" xfId="0" applyFont="1" applyFill="1" applyBorder="1"/>
    <xf numFmtId="0" fontId="5" fillId="5" borderId="8" xfId="0" applyFont="1" applyFill="1" applyBorder="1"/>
    <xf numFmtId="0" fontId="4" fillId="4" borderId="12" xfId="0" applyFont="1" applyFill="1" applyBorder="1"/>
    <xf numFmtId="0" fontId="4" fillId="4" borderId="11" xfId="0" applyFont="1" applyFill="1" applyBorder="1"/>
    <xf numFmtId="0" fontId="5" fillId="5" borderId="10" xfId="0" applyFont="1" applyFill="1" applyBorder="1"/>
    <xf numFmtId="0" fontId="5" fillId="5" borderId="9" xfId="0" applyFont="1" applyFill="1" applyBorder="1"/>
    <xf numFmtId="180" fontId="5" fillId="5" borderId="9" xfId="0" applyNumberFormat="1" applyFont="1" applyFill="1" applyBorder="1"/>
    <xf numFmtId="0" fontId="5" fillId="5" borderId="7" xfId="0" applyFont="1" applyFill="1" applyBorder="1"/>
    <xf numFmtId="0" fontId="4" fillId="4" borderId="13" xfId="0" applyFont="1" applyFill="1" applyBorder="1"/>
    <xf numFmtId="180" fontId="0" fillId="0" borderId="0" xfId="0" applyNumberFormat="1"/>
    <xf numFmtId="0" fontId="5" fillId="5" borderId="0" xfId="0" applyFont="1" applyFill="1" applyBorder="1"/>
    <xf numFmtId="0" fontId="6" fillId="0" borderId="0" xfId="0" applyFont="1"/>
    <xf numFmtId="0" fontId="5" fillId="5" borderId="5" xfId="0" applyNumberFormat="1" applyFont="1" applyFill="1" applyBorder="1"/>
    <xf numFmtId="0" fontId="5" fillId="5" borderId="8" xfId="0" applyNumberFormat="1" applyFont="1" applyFill="1" applyBorder="1"/>
    <xf numFmtId="0" fontId="5" fillId="5" borderId="7" xfId="0" applyNumberFormat="1" applyFont="1" applyFill="1" applyBorder="1"/>
    <xf numFmtId="2" fontId="2" fillId="2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Font="1" applyBorder="1"/>
    <xf numFmtId="0" fontId="2" fillId="2" borderId="0" xfId="0" applyFont="1" applyFill="1" applyBorder="1"/>
  </cellXfs>
  <cellStyles count="1">
    <cellStyle name="Normal" xfId="0" builtinId="0"/>
  </cellStyles>
  <dxfs count="169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_ ;\-0.00\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0" formatCode="General"/>
    </dxf>
    <dxf>
      <numFmt numFmtId="0" formatCode="General"/>
    </dxf>
    <dxf>
      <numFmt numFmtId="164" formatCode="0.00_ ;\-0.00\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 style="thin">
          <color rgb="FF8EA9DB"/>
        </right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numFmt numFmtId="164" formatCode="0.00_ ;\-0.00\ "/>
    </dxf>
    <dxf>
      <numFmt numFmtId="164" formatCode="0.00_ ;\-0.00\ "/>
    </dxf>
    <dxf>
      <numFmt numFmtId="164" formatCode="0.00_ ;\-0.00\ "/>
    </dxf>
    <dxf>
      <numFmt numFmtId="164" formatCode="0.00_ ;\-0.00\ "/>
    </dxf>
    <dxf>
      <numFmt numFmtId="0" formatCode="General"/>
    </dxf>
    <dxf>
      <numFmt numFmtId="164" formatCode="0.00_ ;\-0.00\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80" formatCode="0.00000000000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/>
        <top style="thin">
          <color rgb="FF8EA9DB"/>
        </top>
        <bottom style="thin">
          <color rgb="FF8EA9DB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border diagonalUp="0" diagonalDown="0" outline="0">
        <left style="thin">
          <color rgb="FF8EA9DB"/>
        </left>
        <right style="thin">
          <color rgb="FF8EA9DB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80" formatCode="0.0000000000000"/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 style="thin">
          <color rgb="FF8EA9DB"/>
        </right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border diagonalUp="0" diagonalDown="0" outline="0">
        <left style="thin">
          <color rgb="FF8EA9DB"/>
        </left>
        <right style="thin">
          <color rgb="FF8EA9DB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_ ;\-0.0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82C0CA-43E8-4255-A85A-16EE86F017F7}" name="Table4" displayName="Table4" ref="A3:F8" totalsRowShown="0">
  <autoFilter ref="A3:F8" xr:uid="{7782C0CA-43E8-4255-A85A-16EE86F017F7}"/>
  <sortState xmlns:xlrd2="http://schemas.microsoft.com/office/spreadsheetml/2017/richdata2" ref="A4:F8">
    <sortCondition ref="A3:A8"/>
  </sortState>
  <tableColumns count="6">
    <tableColumn id="1" xr3:uid="{B7B20259-5A9B-4BF1-9DA7-3C618EB74958}" name="Atribute/ criteria"/>
    <tableColumn id="2" xr3:uid="{FDFB06F3-F580-44F6-8FF6-31080F7738E0}" name="Price" dataDxfId="168"/>
    <tableColumn id="3" xr3:uid="{FB6C9DDD-F67D-46AA-B10B-30C565EB0621}" name="Storage"/>
    <tableColumn id="4" xr3:uid="{6BAD3BC7-5EB0-41FC-8EDD-334850867930}" name="Camera"/>
    <tableColumn id="5" xr3:uid="{6469B275-EBCE-4624-B0CC-5746526B2E20}" name="Looks"/>
    <tableColumn id="6" xr3:uid="{440191C5-5549-415F-8569-2A4C3248E791}" name="LOOKS2" dataDxfId="167">
      <calculatedColumnFormula>VLOOKUP(Table4[[#This Row],[Looks]],O:P,2,FALSE)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77A4BAA-0BF8-4B66-B3FF-6738263305B8}" name="Table1719" displayName="Table1719" ref="Q3:S8" totalsRowShown="0">
  <autoFilter ref="Q3:S8" xr:uid="{777A4BAA-0BF8-4B66-B3FF-6738263305B8}"/>
  <tableColumns count="3">
    <tableColumn id="1" xr3:uid="{D19ED5B5-9DE4-4E1B-894F-7F775B0A404F}" name="Atribute/ criteria">
      <calculatedColumnFormula>Table7[[#This Row],[Atribute/ criteria]]</calculatedColumnFormula>
    </tableColumn>
    <tableColumn id="2" xr3:uid="{F3CFF2DB-615E-4AE0-B864-14AFD509901C}" name="WSM" dataDxfId="103">
      <calculatedColumnFormula>B13/$B$18</calculatedColumnFormula>
    </tableColumn>
    <tableColumn id="3" xr3:uid="{A7D38C18-1DC9-418C-9DB4-406AD0013592}" name="WPM" dataDxfId="102">
      <calculatedColumnFormula>C13/$C$18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9ED734-6906-48C4-B1EF-AF188747314E}" name="Table57" displayName="Table57" ref="A6:E11" totalsRowShown="0">
  <autoFilter ref="A6:E11" xr:uid="{E79ED734-6906-48C4-B1EF-AF188747314E}"/>
  <tableColumns count="5">
    <tableColumn id="1" xr3:uid="{EE56DD23-E900-48E3-B08B-2FADA1A80619}" name="Atribute/ criteria" dataDxfId="152">
      <calculatedColumnFormula>'MAIN SHEET'!A4</calculatedColumnFormula>
    </tableColumn>
    <tableColumn id="2" xr3:uid="{1A808326-4C5C-4C4D-AF85-A084F143EEB0}" name="Price" dataDxfId="151">
      <calculatedColumnFormula>'MAIN SHEET'!B4</calculatedColumnFormula>
    </tableColumn>
    <tableColumn id="3" xr3:uid="{F16A3934-3BE6-477C-9A88-3576ADAC6C24}" name="Storage">
      <calculatedColumnFormula>'MAIN SHEET'!C4</calculatedColumnFormula>
    </tableColumn>
    <tableColumn id="4" xr3:uid="{DF51995E-AC99-42BA-9C3B-7147C78B472F}" name="Camera">
      <calculatedColumnFormula>'MAIN SHEET'!D4</calculatedColumnFormula>
    </tableColumn>
    <tableColumn id="5" xr3:uid="{A77088D3-EF47-463D-8727-3593DCD81354}" name="Looks" dataDxfId="150">
      <calculatedColumnFormula>'MAIN SHEET'!F4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5C2C372-F40E-41B3-8944-65AB5F28352A}" name="Table569" displayName="Table569" ref="H6:N11" totalsRowShown="0">
  <autoFilter ref="H6:N11" xr:uid="{05C2C372-F40E-41B3-8944-65AB5F28352A}"/>
  <tableColumns count="7">
    <tableColumn id="1" xr3:uid="{0AA30C38-6D78-4DAB-B8E6-A42842A3D95B}" name="Atribute/ criteria" dataDxfId="149">
      <calculatedColumnFormula>Table57[[#This Row],[Atribute/ criteria]]</calculatedColumnFormula>
    </tableColumn>
    <tableColumn id="2" xr3:uid="{7FF8D15C-E605-415C-BE6E-462F9B6222DF}" name="Price" dataDxfId="27">
      <calculatedColumnFormula>IF('MAIN SHEET'!$B$2 = Normalisation!$J$1,VLOOKUP(Table569[[#This Row],[Atribute/ criteria]],Table43536[],2,FALSE),VLOOKUP(Table569[[#This Row],[Atribute/ criteria]],Normalisation!I11:M15,2,FALSE))</calculatedColumnFormula>
    </tableColumn>
    <tableColumn id="3" xr3:uid="{003B0E31-E93E-4AA4-B7E3-B5BBE6C40CEA}" name="Storage" dataDxfId="26">
      <calculatedColumnFormula>IF('MAIN SHEET'!$C$2 = Normalisation!$J$1,VLOOKUP(Table569[[#This Row],[Atribute/ criteria]],Table43536[],3,FALSE),VLOOKUP(Table569[[#This Row],[Atribute/ criteria]],Normalisation!I11:M15,3,FALSE))</calculatedColumnFormula>
    </tableColumn>
    <tableColumn id="4" xr3:uid="{F49348B6-21C3-418E-B7A9-AEFB54DAF9E6}" name="Camera" dataDxfId="25">
      <calculatedColumnFormula>IF('MAIN SHEET'!$D$2 = Normalisation!$J$1,VLOOKUP(Table569[[#This Row],[Atribute/ criteria]],Table43536[],4,FALSE),VLOOKUP(Table569[[#This Row],[Atribute/ criteria]],Normalisation!I11:M15,4,FALSE))</calculatedColumnFormula>
    </tableColumn>
    <tableColumn id="5" xr3:uid="{1923D5C1-40AF-4CF5-82B7-AD3F2EEFDAB2}" name="Looks" dataDxfId="24">
      <calculatedColumnFormula>IF('MAIN SHEET'!$E$2 = Normalisation!$J$1,VLOOKUP(Table569[[#This Row],[Atribute/ criteria]],Table43536[],5,FALSE),VLOOKUP(Table569[[#This Row],[Atribute/ criteria]],Normalisation!I11:M15,5,FALSE))</calculatedColumnFormula>
    </tableColumn>
    <tableColumn id="6" xr3:uid="{857414AD-F5CF-452A-84D6-112B08678A9B}" name="WSM" dataDxfId="148">
      <calculatedColumnFormula>Table569[[#This Row],[Price]]*$B$3+Table569[[#This Row],[Storage]]*$C$3+Table569[[#This Row],[Camera]]*$D$3+Table569[[#This Row],[Looks]]*$E$3</calculatedColumnFormula>
    </tableColumn>
    <tableColumn id="7" xr3:uid="{EF921EE6-747A-4611-8FDA-E342A4C62F93}" name="Ranks" dataDxfId="141">
      <calculatedColumnFormula>RANK(Table569[[#This Row],[WSM]],Table569[WSM],0)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5AEEB6-B137-4692-9618-A681B7E7C55A}" name="Table56910" displayName="Table56910" ref="H16:N21" totalsRowShown="0">
  <autoFilter ref="H16:N21" xr:uid="{925AEEB6-B137-4692-9618-A681B7E7C55A}"/>
  <tableColumns count="7">
    <tableColumn id="1" xr3:uid="{25CE5218-1427-449A-9E18-97941EEFBED1}" name="Atribute/ criteria" dataDxfId="143">
      <calculatedColumnFormula>H7</calculatedColumnFormula>
    </tableColumn>
    <tableColumn id="2" xr3:uid="{81A43F45-C0E7-4987-B860-0CF221072415}" name="Price" dataDxfId="147">
      <calculatedColumnFormula>I7</calculatedColumnFormula>
    </tableColumn>
    <tableColumn id="3" xr3:uid="{74EBDA86-D79C-4DAD-9D9C-563091E6BA4B}" name="Storage" dataDxfId="146">
      <calculatedColumnFormula>J7</calculatedColumnFormula>
    </tableColumn>
    <tableColumn id="4" xr3:uid="{3DB57AC4-A71A-4330-A9ED-417DC188DBAD}" name="Camera" dataDxfId="145">
      <calculatedColumnFormula>K7</calculatedColumnFormula>
    </tableColumn>
    <tableColumn id="5" xr3:uid="{B098361B-4F32-4D3F-9931-CA7C5CD3D3A1}" name="Looks" dataDxfId="144">
      <calculatedColumnFormula>L7</calculatedColumnFormula>
    </tableColumn>
    <tableColumn id="6" xr3:uid="{BB158C16-D426-400A-8DEF-DFF5558E7CF1}" name="WSM" dataDxfId="142">
      <calculatedColumnFormula>Table56910[[#This Row],[Price]]*$B$4+Table56910[[#This Row],[Storage]]*$C$4+Table56910[[#This Row],[Camera]]*$D$4+Table56910[[#This Row],[Looks]]*$E$4</calculatedColumnFormula>
    </tableColumn>
    <tableColumn id="7" xr3:uid="{129561A9-F127-438E-AE0D-67ABE48FAEAE}" name="Ranks" dataDxfId="140">
      <calculatedColumnFormula>RANK(Table56910[[#This Row],[WSM]],Table56910[WSM],0)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8664997-A7FB-49A9-8B8A-8986A8E66E81}" name="Table14" displayName="Table14" ref="A6:E11" totalsRowShown="0" headerRowDxfId="127" dataDxfId="128" headerRowBorderDxfId="135" tableBorderDxfId="136" totalsRowBorderDxfId="134">
  <autoFilter ref="A6:E11" xr:uid="{B8664997-A7FB-49A9-8B8A-8986A8E66E81}"/>
  <tableColumns count="5">
    <tableColumn id="1" xr3:uid="{D4D5F699-D800-4699-8FB3-6817089EB900}" name="Atribute/ criteria" dataDxfId="133"/>
    <tableColumn id="2" xr3:uid="{D15027E6-7826-400C-B420-7EA78C4D903D}" name="Price" dataDxfId="132"/>
    <tableColumn id="3" xr3:uid="{DDC28D37-EEBD-49BE-92E8-CAF25FD912F5}" name="Storage" dataDxfId="131"/>
    <tableColumn id="4" xr3:uid="{4EA021AB-72B4-4DD1-8210-B5EE54C90F8D}" name="Camera" dataDxfId="130"/>
    <tableColumn id="5" xr3:uid="{865E4789-8243-4521-BC6F-D7F6EB56515E}" name="Looks" dataDxfId="1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2BD76F-99FD-46EB-BDCB-B52399488F78}" name="Table15" displayName="Table15" ref="H6:N11" totalsRowShown="0" headerRowDxfId="121" headerRowBorderDxfId="125" tableBorderDxfId="126" totalsRowBorderDxfId="124">
  <autoFilter ref="H6:N11" xr:uid="{0F2BD76F-99FD-46EB-BDCB-B52399488F78}"/>
  <tableColumns count="7">
    <tableColumn id="1" xr3:uid="{96B7CE01-D1BB-4F69-BC6F-7C5BE69A118B}" name="Atribute/ criteria" dataDxfId="123"/>
    <tableColumn id="2" xr3:uid="{5C044392-61E2-4BE9-AFE4-A9ECC9E29AAF}" name="Price" dataDxfId="23">
      <calculatedColumnFormula>IF('MAIN SHEET'!$B$2=Normalisation!$J$1,VLOOKUP(Table15[[#This Row],[Atribute/ criteria]],Table43536[#All],2,FALSE),VLOOKUP(Table15[[#This Row],[Atribute/ criteria]],Normalisation!I11:M15,2,FALSE))</calculatedColumnFormula>
    </tableColumn>
    <tableColumn id="3" xr3:uid="{4E9C2274-0675-4FBB-87EF-979B6C828F19}" name="Storage" dataDxfId="22">
      <calculatedColumnFormula>IF('MAIN SHEET'!$C$2=Normalisation!$J$1,VLOOKUP(Table15[[#This Row],[Atribute/ criteria]],Table43536[#All],3,FALSE),VLOOKUP(Table15[[#This Row],[Atribute/ criteria]],Normalisation!I11:M15,3,FALSE))</calculatedColumnFormula>
    </tableColumn>
    <tableColumn id="4" xr3:uid="{1DFAE9AA-7105-4BAB-B9BB-4233A45C0481}" name="Camera" dataDxfId="21">
      <calculatedColumnFormula>IF('MAIN SHEET'!$D$2=Normalisation!$J$1,VLOOKUP(Table15[[#This Row],[Atribute/ criteria]],Table43536[#All],4,FALSE),VLOOKUP(Table15[[#This Row],[Atribute/ criteria]],Normalisation!I11:M15,4,FALSE))</calculatedColumnFormula>
    </tableColumn>
    <tableColumn id="5" xr3:uid="{CB217C07-78BA-4BC2-9084-283AD67FC77E}" name="Looks" dataDxfId="20">
      <calculatedColumnFormula>IF('MAIN SHEET'!$E$2=Normalisation!$J$1,VLOOKUP(Table15[[#This Row],[Atribute/ criteria]],Table43536[#All],5,FALSE),VLOOKUP(Table15[[#This Row],[Atribute/ criteria]],Normalisation!I11:M15,5,FALSE))</calculatedColumnFormula>
    </tableColumn>
    <tableColumn id="6" xr3:uid="{37240745-3DD1-4F3C-B489-0AFF9263B482}" name="WPM" dataDxfId="122">
      <calculatedColumnFormula>I7^$B$3+J7^$C$3+K7^$D$3+L7^$E$3</calculatedColumnFormula>
    </tableColumn>
    <tableColumn id="7" xr3:uid="{F30878CA-8A33-4A11-82AB-8135DF0887E4}" name="RANK" dataDxfId="110">
      <calculatedColumnFormula>RANK(Table15[[#This Row],[WPM]],Table15[WPM],0)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B827FA-42C6-4C4C-A113-65CD08D6C4D2}" name="Table16" displayName="Table16" ref="H16:N21" totalsRowShown="0" headerRowDxfId="111" dataDxfId="112" headerRowBorderDxfId="119" tableBorderDxfId="120" totalsRowBorderDxfId="118">
  <autoFilter ref="H16:N21" xr:uid="{10B827FA-42C6-4C4C-A113-65CD08D6C4D2}"/>
  <tableColumns count="7">
    <tableColumn id="1" xr3:uid="{3CE70EEF-9801-42E2-A5A4-1B402B21D488}" name="Atribute/ criteria" dataDxfId="117"/>
    <tableColumn id="2" xr3:uid="{DE59FA8D-8326-45E5-8EFA-0529C74112A9}" name="Price" dataDxfId="28">
      <calculatedColumnFormula>I7</calculatedColumnFormula>
    </tableColumn>
    <tableColumn id="3" xr3:uid="{56602698-8BF5-4CCC-93A1-FBF91E49BED0}" name="Storage" dataDxfId="116">
      <calculatedColumnFormula>J7</calculatedColumnFormula>
    </tableColumn>
    <tableColumn id="4" xr3:uid="{92C8C349-4A9F-4D12-AE83-B19AE66CE07C}" name="Camera" dataDxfId="115">
      <calculatedColumnFormula>K7</calculatedColumnFormula>
    </tableColumn>
    <tableColumn id="5" xr3:uid="{5E622C9F-406A-4CFD-BD79-7CECB15EED32}" name="Looks" dataDxfId="114">
      <calculatedColumnFormula>L7</calculatedColumnFormula>
    </tableColumn>
    <tableColumn id="6" xr3:uid="{C024F1CE-7BE2-46A8-8463-FFA72DE65B79}" name="WPM" dataDxfId="113">
      <calculatedColumnFormula>I17^$B$4+J17^$C$4+K17^$D$4+L17^$E$4</calculatedColumnFormula>
    </tableColumn>
    <tableColumn id="7" xr3:uid="{3B8BDAEB-9957-4D87-84BB-9FE6EFF01D08}" name="RANK" dataDxfId="109">
      <calculatedColumnFormula>RANK(Table16[[#This Row],[WPM]],Table16[WPM],0)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A65839-5EE8-4731-B9B7-2A6F4E6ADC45}" name="Table5" displayName="Table5" ref="A6:E11" totalsRowShown="0">
  <autoFilter ref="A6:E11" xr:uid="{D7A65839-5EE8-4731-B9B7-2A6F4E6ADC45}"/>
  <tableColumns count="5">
    <tableColumn id="1" xr3:uid="{F6B8E198-6D5D-49DA-8B3E-3D5601463047}" name="Atribute/ criteria" dataDxfId="156">
      <calculatedColumnFormula>'MAIN SHEET'!A4</calculatedColumnFormula>
    </tableColumn>
    <tableColumn id="2" xr3:uid="{AA19F19C-4D3F-48B8-ACDF-88A599025139}" name="Price" dataDxfId="155">
      <calculatedColumnFormula>'MAIN SHEET'!B4</calculatedColumnFormula>
    </tableColumn>
    <tableColumn id="3" xr3:uid="{A16896ED-B2AA-4394-A9A1-78BAF4921BB7}" name="Storage">
      <calculatedColumnFormula>'MAIN SHEET'!C4</calculatedColumnFormula>
    </tableColumn>
    <tableColumn id="4" xr3:uid="{A0A74608-FA64-4472-9EBB-45296596EC52}" name="Camera">
      <calculatedColumnFormula>'MAIN SHEET'!D4</calculatedColumnFormula>
    </tableColumn>
    <tableColumn id="5" xr3:uid="{CAA5B89B-6B5C-4FF6-8229-15697CFEAFAC}" name="Looks" dataDxfId="154">
      <calculatedColumnFormula>'MAIN SHEET'!F4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D37BA1-B3F9-44BD-AF6C-2E9A5F5853DA}" name="Table56" displayName="Table56" ref="I6:M11" totalsRowShown="0">
  <autoFilter ref="I6:M11" xr:uid="{07D37BA1-B3F9-44BD-AF6C-2E9A5F5853DA}"/>
  <tableColumns count="5">
    <tableColumn id="1" xr3:uid="{1BF5369C-FDC6-4AEA-9801-F703739E699C}" name="Atribute/ criteria" dataDxfId="153">
      <calculatedColumnFormula>Table5[[#This Row],[Atribute/ criteria]]</calculatedColumnFormula>
    </tableColumn>
    <tableColumn id="6" xr3:uid="{4C435F30-5919-4659-A42E-F66D9CEA8470}" name="WSM" dataDxfId="139">
      <calculatedColumnFormula>Table569[[#This Row],[WSM]]</calculatedColumnFormula>
    </tableColumn>
    <tableColumn id="7" xr3:uid="{B7CAF8A9-B20A-48EA-B5F4-5AB5687AC043}" name="WPM" dataDxfId="108">
      <calculatedColumnFormula>Table15[[#This Row],[WPM]]</calculatedColumnFormula>
    </tableColumn>
    <tableColumn id="8" xr3:uid="{CCFD9A00-7D43-48A5-B12E-2BC63B134411}" name="WASPAS" dataDxfId="106">
      <calculatedColumnFormula>Table56[[#This Row],[WSM]]*$F$3+Table56[[#This Row],[WPM]]+$G$3</calculatedColumnFormula>
    </tableColumn>
    <tableColumn id="9" xr3:uid="{B64AE735-359D-4E83-AB52-54A621C5D722}" name="RANK" dataDxfId="100">
      <calculatedColumnFormula>RANK(Table56[[#This Row],[WASPAS]],Table56[WASPAS],0)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C58B4E3-117E-4C7B-B879-2CD44404287E}" name="Table5613" displayName="Table5613" ref="I16:M21" totalsRowShown="0">
  <autoFilter ref="I16:M21" xr:uid="{0C58B4E3-117E-4C7B-B879-2CD44404287E}"/>
  <tableColumns count="5">
    <tableColumn id="1" xr3:uid="{4B384EF9-AD9A-4E64-94C5-753645D9B006}" name="Atribute/ criteria" dataDxfId="138">
      <calculatedColumnFormula>I7</calculatedColumnFormula>
    </tableColumn>
    <tableColumn id="6" xr3:uid="{D5301424-C86B-4481-A204-BD152D8A68E9}" name="WSM" dataDxfId="137">
      <calculatedColumnFormula>Table56910[[#This Row],[WSM]]</calculatedColumnFormula>
    </tableColumn>
    <tableColumn id="7" xr3:uid="{55706DAD-46B2-41F2-BC74-8F5709B48109}" name="WPM" dataDxfId="107">
      <calculatedColumnFormula>Table16[[#This Row],[WPM]]</calculatedColumnFormula>
    </tableColumn>
    <tableColumn id="8" xr3:uid="{E1094D19-F63A-4028-A813-3946B33C8318}" name="WASPAS" dataDxfId="101">
      <calculatedColumnFormula>Table5613[[#This Row],[WSM]]*$F$4+Table5613[[#This Row],[WPM]]*$G$4</calculatedColumnFormula>
    </tableColumn>
    <tableColumn id="9" xr3:uid="{B0134949-43DA-48C5-9585-36EE9B287100}" name="RANK" dataDxfId="99">
      <calculatedColumnFormula>RANK(Table5613[[#This Row],[WASPAS]],Table5613[WASPAS],0)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075CFBC-CB49-410A-97AE-1B2DFFB7EBA1}" name="Table437" displayName="Table437" ref="I14:N19" totalsRowShown="0">
  <autoFilter ref="I14:N19" xr:uid="{2075CFBC-CB49-410A-97AE-1B2DFFB7EBA1}"/>
  <sortState xmlns:xlrd2="http://schemas.microsoft.com/office/spreadsheetml/2017/richdata2" ref="I15:M19">
    <sortCondition ref="I3:I8"/>
  </sortState>
  <tableColumns count="6">
    <tableColumn id="1" xr3:uid="{88C51841-DD43-4F67-9FAF-75E1419975D2}" name="Atribute/ criteria"/>
    <tableColumn id="2" xr3:uid="{FE73C8B0-E97C-4F53-9677-CF096DB37974}" name="Price" dataDxfId="11"/>
    <tableColumn id="3" xr3:uid="{5D1B086F-8B8D-47DA-A97B-6A5AEC8BD552}" name="Storage"/>
    <tableColumn id="4" xr3:uid="{A83B13D4-EF52-409C-AB5E-89288554F30D}" name="Camera"/>
    <tableColumn id="5" xr3:uid="{060FF517-783F-44F1-9D03-63F17AC1DB4D}" name="Looks" dataDxfId="10">
      <calculatedColumnFormula>F4</calculatedColumnFormula>
    </tableColumn>
    <tableColumn id="6" xr3:uid="{F52E1E32-C941-45BE-A278-741D421133B8}" name="Rank" dataDxfId="9">
      <calculatedColumnFormula>VLOOKUP(Table437[[#This Row],[Atribute/ criteria]],Table5733[#All],10,FALSE)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D429C6D-1BD6-44CC-A260-614B6CABD8BB}" name="Table5721" displayName="Table5721" ref="A6:E11" totalsRowShown="0">
  <autoFilter ref="A6:E11" xr:uid="{0D429C6D-1BD6-44CC-A260-614B6CABD8BB}"/>
  <tableColumns count="5">
    <tableColumn id="1" xr3:uid="{9288E1DE-ADBB-40A7-8059-A8AFD0397D8B}" name="Atribute/ criteria" dataDxfId="98">
      <calculatedColumnFormula>'MAIN SHEET'!A4</calculatedColumnFormula>
    </tableColumn>
    <tableColumn id="2" xr3:uid="{49FD93BC-3F8A-4001-BFA8-1D26D69C995E}" name="Price" dataDxfId="97">
      <calculatedColumnFormula>'MAIN SHEET'!B4</calculatedColumnFormula>
    </tableColumn>
    <tableColumn id="3" xr3:uid="{2D58B498-3722-41F8-8F88-F24E21A00225}" name="Storage">
      <calculatedColumnFormula>'MAIN SHEET'!C4</calculatedColumnFormula>
    </tableColumn>
    <tableColumn id="4" xr3:uid="{7EFD0EE2-52B3-48FE-97D3-498CB8D0D26E}" name="Camera">
      <calculatedColumnFormula>'MAIN SHEET'!D4</calculatedColumnFormula>
    </tableColumn>
    <tableColumn id="5" xr3:uid="{26BAB7F2-EC04-469C-BCB6-35127CEE50EC}" name="Looks" dataDxfId="96">
      <calculatedColumnFormula>'MAIN SHEET'!F4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CCD318C-2762-4586-94F7-B2CAE3BB2BE6}" name="Table23" displayName="Table23" ref="J6:R11" totalsRowShown="0" headerRowDxfId="89" dataDxfId="88" headerRowBorderDxfId="86" tableBorderDxfId="87" totalsRowBorderDxfId="85">
  <autoFilter ref="J6:R11" xr:uid="{8CCD318C-2762-4586-94F7-B2CAE3BB2BE6}"/>
  <tableColumns count="9">
    <tableColumn id="1" xr3:uid="{993DEBC1-45A1-49C0-9D96-BF9AC93133D6}" name="Atribute/ criteria" dataDxfId="84"/>
    <tableColumn id="2" xr3:uid="{614195D3-D10F-408C-A26B-E18F10288BB1}" name="Price" dataDxfId="79">
      <calculatedColumnFormula>Table5721[[#This Row],[Price]]/$B$12*$B$3</calculatedColumnFormula>
    </tableColumn>
    <tableColumn id="3" xr3:uid="{39B089F1-47F3-43C7-896D-DFA15FBBB9FD}" name="Storage" dataDxfId="83">
      <calculatedColumnFormula>Table5721[[#This Row],[Storage]]/$C$12*$C$3</calculatedColumnFormula>
    </tableColumn>
    <tableColumn id="4" xr3:uid="{D63D5AE4-CCBE-43C2-B0D5-A9775ED13F0C}" name="Camera" dataDxfId="82">
      <calculatedColumnFormula>Table5721[[#This Row],[Camera]]/$D$12*$D$3</calculatedColumnFormula>
    </tableColumn>
    <tableColumn id="5" xr3:uid="{20389EFF-9855-4560-9CC7-CA239772AA6E}" name="Looks" dataDxfId="81">
      <calculatedColumnFormula>Table5721[[#This Row],[Looks]]/$E$12*$E$3</calculatedColumnFormula>
    </tableColumn>
    <tableColumn id="6" xr3:uid="{AE2186C9-20EC-4A8F-9B97-38827314F886}" name="SI+" dataDxfId="80">
      <calculatedColumnFormula>SQRT(POWER($K$13-Table23[[#This Row],[Price]],2) + POWER($L$13-Table23[[#This Row],[Storage]],2) + POWER($M$13-Table23[[#This Row],[Camera]],2) + POWER($N$13-Table23[[#This Row],[Looks]],2))</calculatedColumnFormula>
    </tableColumn>
    <tableColumn id="7" xr3:uid="{53DF6E19-B33A-428F-8ABF-7172E039463D}" name="SI-" dataDxfId="73">
      <calculatedColumnFormula>SQRT(POWER($K$14-Table23[[#This Row],[Price]],2) + POWER($L$14-Table23[[#This Row],[Storage]],2) + POWER($M$14-Table23[[#This Row],[Camera]],2) + POWER($N$14-Table23[[#This Row],[Looks]],2))</calculatedColumnFormula>
    </tableColumn>
    <tableColumn id="8" xr3:uid="{A4C037D9-4A57-41AE-95A8-6816B2044D78}" name="PI" dataDxfId="71">
      <calculatedColumnFormula>Table23[[#This Row],[SI-]]/Table23[[#This Row],[SI+]]+Table23[[#This Row],[SI-]]</calculatedColumnFormula>
    </tableColumn>
    <tableColumn id="9" xr3:uid="{DB790629-AD3C-4EEB-86BE-9C320A893B3B}" name="RANK" dataDxfId="70">
      <calculatedColumnFormula>RANK(Table23[[#This Row],[PI]],Table23[PI],0)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57A46BC-D191-4B60-A367-7F96A615F077}" name="Table24" displayName="Table24" ref="J19:R24" totalsRowShown="0" headerRowDxfId="90" dataDxfId="91" headerRowBorderDxfId="94" tableBorderDxfId="95" totalsRowBorderDxfId="93">
  <autoFilter ref="J19:R24" xr:uid="{D57A46BC-D191-4B60-A367-7F96A615F077}"/>
  <tableColumns count="9">
    <tableColumn id="1" xr3:uid="{B9C74428-F4B1-4960-92A6-AFA14141C8AD}" name="Atribute/ criteria" dataDxfId="92"/>
    <tableColumn id="2" xr3:uid="{C823C3FE-FAC3-424D-B0E1-6E5F02C31877}" name="Price" dataDxfId="78">
      <calculatedColumnFormula>B7 / $B$12 * $B$4</calculatedColumnFormula>
    </tableColumn>
    <tableColumn id="3" xr3:uid="{E785332A-4D94-4811-8418-54D3BA8AA86A}" name="Storage" dataDxfId="77">
      <calculatedColumnFormula>C7 / $C$12 * $C$4</calculatedColumnFormula>
    </tableColumn>
    <tableColumn id="4" xr3:uid="{0314441F-45DB-4D91-BF51-73E2A1BF921F}" name="Camera" dataDxfId="76">
      <calculatedColumnFormula>D7 / $D$12 * $D$4</calculatedColumnFormula>
    </tableColumn>
    <tableColumn id="5" xr3:uid="{4B7D4CE0-1F7C-46CC-8F32-8CC9204ACB6E}" name="Looks" dataDxfId="75">
      <calculatedColumnFormula>E7 / $E$12 * $E$4</calculatedColumnFormula>
    </tableColumn>
    <tableColumn id="6" xr3:uid="{9A2F5E76-0068-4ED3-8BA9-6B952928B061}" name="SI+" dataDxfId="74">
      <calculatedColumnFormula>SQRT(POWER($K$26-Table24[[#This Row],[Price]],2) + POWER($L$26-Table24[[#This Row],[Storage]],2)+ POWER($M$26-Table24[[#This Row],[Camera]],2) + POWER($N$26-Table24[[#This Row],[Looks]], 2))</calculatedColumnFormula>
    </tableColumn>
    <tableColumn id="7" xr3:uid="{13391D3D-E590-4430-B386-56879B8D2507}" name="SI-" dataDxfId="72">
      <calculatedColumnFormula>SQRT(POWER($K$27-Table24[[#This Row],[Price]],2) + POWER($L$27-Table24[[#This Row],[Storage]],2)+ POWER($M$27-Table24[[#This Row],[Camera]],2) + POWER($N$27-Table24[[#This Row],[Looks]], 2))</calculatedColumnFormula>
    </tableColumn>
    <tableColumn id="8" xr3:uid="{AB431983-79CB-4C64-A0A5-A2BF7ACF13CB}" name="PI" dataDxfId="69">
      <calculatedColumnFormula>Table24[[#This Row],[SI-]]/Table24[[#This Row],[SI+]]+Table24[[#This Row],[SI-]]</calculatedColumnFormula>
    </tableColumn>
    <tableColumn id="9" xr3:uid="{9542276F-BD05-4F67-9C72-36151266C423}" name="Rank" dataDxfId="68">
      <calculatedColumnFormula>RANK(Table24[[#This Row],[PI]],Table24[PI],0)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0E775AD-AC59-4A6F-B5B4-6C2D3A5C51EA}" name="Table5727" displayName="Table5727" ref="A6:E11" totalsRowShown="0">
  <autoFilter ref="A6:E11" xr:uid="{F0E775AD-AC59-4A6F-B5B4-6C2D3A5C51EA}"/>
  <tableColumns count="5">
    <tableColumn id="1" xr3:uid="{738A712D-F7B5-4FB5-A7B3-D172A0D3724E}" name="Atribute/ criteria" dataDxfId="67">
      <calculatedColumnFormula>'MAIN SHEET'!A4</calculatedColumnFormula>
    </tableColumn>
    <tableColumn id="2" xr3:uid="{0964C50B-248D-48CE-8916-256DAEED3939}" name="Price" dataDxfId="66">
      <calculatedColumnFormula>'MAIN SHEET'!B4</calculatedColumnFormula>
    </tableColumn>
    <tableColumn id="3" xr3:uid="{40362CD1-7FA3-49A9-9B4C-A6912D7553BC}" name="Storage">
      <calculatedColumnFormula>'MAIN SHEET'!C4</calculatedColumnFormula>
    </tableColumn>
    <tableColumn id="4" xr3:uid="{B9E83EE7-96BD-477B-A5E7-A23EF0C38041}" name="Camera">
      <calculatedColumnFormula>'MAIN SHEET'!D4</calculatedColumnFormula>
    </tableColumn>
    <tableColumn id="5" xr3:uid="{F23DA26C-CDCC-4168-B9A0-3940A18681D4}" name="Looks" dataDxfId="65">
      <calculatedColumnFormula>'MAIN SHEET'!F4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ED21566-88C0-4F9A-A2F8-C85C6DF37885}" name="Table30" displayName="Table30" ref="I6:Q11" totalsRowShown="0">
  <autoFilter ref="I6:Q11" xr:uid="{BED21566-88C0-4F9A-A2F8-C85C6DF37885}"/>
  <tableColumns count="9">
    <tableColumn id="1" xr3:uid="{68BF746D-8A4E-4240-B7CD-45AF2DD21340}" name="Atribute/ criteria" dataDxfId="64">
      <calculatedColumnFormula>Table57[[#This Row],[Atribute/ criteria]]</calculatedColumnFormula>
    </tableColumn>
    <tableColumn id="2" xr3:uid="{3D7B1A6B-6C06-4DD8-B246-1332DE0826D0}" name="Price" dataDxfId="62">
      <calculatedColumnFormula>$B$3*($B$13-Table5727[[#This Row],[Price]])/($B$13-$B$14)</calculatedColumnFormula>
    </tableColumn>
    <tableColumn id="3" xr3:uid="{33B8DEA4-4458-40F6-A68C-8A70344C2B13}" name="Storage" dataDxfId="61">
      <calculatedColumnFormula>$C$3*($C$13-Table5727[[#This Row],[Storage]])/($C$13-$C$15)</calculatedColumnFormula>
    </tableColumn>
    <tableColumn id="4" xr3:uid="{59849045-3B1D-4EE2-A651-17CD2EF98230}" name="Camera" dataDxfId="60">
      <calculatedColumnFormula>$D$3*($D$13-Table5727[[#This Row],[Camera]])/($D$13-$D$14)</calculatedColumnFormula>
    </tableColumn>
    <tableColumn id="5" xr3:uid="{EEBA2102-B22A-4F53-87B2-E2573AF03731}" name="Looks" dataDxfId="59">
      <calculatedColumnFormula>$E$3*($E$13-Table5727[[#This Row],[Looks]])/($E$13-$E$14)</calculatedColumnFormula>
    </tableColumn>
    <tableColumn id="6" xr3:uid="{9B3ADA55-80AE-45FE-8886-6039AB22C250}" name="SI" dataDxfId="54">
      <calculatedColumnFormula>SUM(Table30[[#This Row],[Price]:[Looks]])</calculatedColumnFormula>
    </tableColumn>
    <tableColumn id="7" xr3:uid="{51C995C4-66FE-4921-BD31-383039F55B98}" name="RI" dataDxfId="52">
      <calculatedColumnFormula>MAX(Table30[[#This Row],[Price]:[Looks]])</calculatedColumnFormula>
    </tableColumn>
    <tableColumn id="8" xr3:uid="{114B1FBA-B539-4406-9B24-73D6548F5015}" name="Qi" dataDxfId="50">
      <calculatedColumnFormula>$G$3*(Table30[[#This Row],[SI]]-$Q$3)/($S$3-$Q$3) + (1-$G$3)*(Table30[[#This Row],[RI]]-$P$3)/($R$3-$P$3)</calculatedColumnFormula>
    </tableColumn>
    <tableColumn id="9" xr3:uid="{BEC1E839-45F2-4820-994E-AEE02799EC6F}" name="Rank" dataDxfId="48">
      <calculatedColumnFormula>RANK(Table30[[#This Row],[Qi]],Table30[Qi],1)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EBF7BDE5-F7BF-47D6-BFE6-E952FF630C81}" name="Table31" displayName="Table31" ref="I19:Q24" totalsRowShown="0">
  <autoFilter ref="I19:Q24" xr:uid="{EBF7BDE5-F7BF-47D6-BFE6-E952FF630C81}"/>
  <tableColumns count="9">
    <tableColumn id="1" xr3:uid="{715816EE-B679-488A-9AF3-59A7F68740B8}" name="Atribute/ criteria" dataDxfId="63">
      <calculatedColumnFormula>I7</calculatedColumnFormula>
    </tableColumn>
    <tableColumn id="2" xr3:uid="{22112C59-1EF6-4CF6-AEFC-E9342373D31C}" name="Price" dataDxfId="58">
      <calculatedColumnFormula>$B$4*($B$13-B7)/($B$13-$B$14)</calculatedColumnFormula>
    </tableColumn>
    <tableColumn id="3" xr3:uid="{1AA3CB74-F356-4C97-B602-C2CDFD8EEEEB}" name="Storage" dataDxfId="57">
      <calculatedColumnFormula>$C$4*($C$13-C7)/($C$13-$C$14)</calculatedColumnFormula>
    </tableColumn>
    <tableColumn id="4" xr3:uid="{68EAC0F1-03AD-485C-9D41-591851E9C84E}" name="Camera" dataDxfId="56">
      <calculatedColumnFormula>$D$4*($D$13-D7)/($D$13-$D$14)</calculatedColumnFormula>
    </tableColumn>
    <tableColumn id="5" xr3:uid="{F2B9E1A8-E769-4A99-9684-32D1572C4D05}" name="Looks" dataDxfId="55">
      <calculatedColumnFormula>$E$4*($E$13-E7)/($E$13-$E$14)</calculatedColumnFormula>
    </tableColumn>
    <tableColumn id="6" xr3:uid="{70CBB532-F657-4969-A063-E66B818C2D15}" name="SI" dataDxfId="53">
      <calculatedColumnFormula>SUM(Table31[[#This Row],[Price]:[Looks]])</calculatedColumnFormula>
    </tableColumn>
    <tableColumn id="7" xr3:uid="{B1A57464-BC7C-44AF-A3E1-422FB45A317A}" name="RI" dataDxfId="51">
      <calculatedColumnFormula>MAX(Table31[[#This Row],[Price]:[Looks]])</calculatedColumnFormula>
    </tableColumn>
    <tableColumn id="8" xr3:uid="{F1E7B965-E547-43C4-BC02-5124E6B66300}" name="QI" dataDxfId="49">
      <calculatedColumnFormula>$G$3*(Table31[[#This Row],[SI]]-$Q$16)/($S$16-$Q$16) + (1 - $G$3) * (Table31[[#This Row],[RI]]-$P$16)/($R$16-$P$16)</calculatedColumnFormula>
    </tableColumn>
    <tableColumn id="9" xr3:uid="{7D5E4252-65DC-4A2B-AF66-95F1BEA893B0}" name="Rank" dataDxfId="47">
      <calculatedColumnFormula>RANK(Table31[[#This Row],[QI]],Table31[QI],1)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136AD37-DB41-4DDF-8C4E-73C28BF95241}" name="Table5733" displayName="Table5733" ref="A7:J12" totalsRowShown="0">
  <autoFilter ref="A7:J12" xr:uid="{0136AD37-DB41-4DDF-8C4E-73C28BF95241}"/>
  <tableColumns count="10">
    <tableColumn id="1" xr3:uid="{E7EDEABD-F985-4E2B-920D-E21BA67713FF}" name="Atribute/ criteria" dataDxfId="46">
      <calculatedColumnFormula>'MAIN SHEET'!A4</calculatedColumnFormula>
    </tableColumn>
    <tableColumn id="2" xr3:uid="{EB84E175-57B1-41FD-92C4-5132E881CC6F}" name="WSM" dataDxfId="44">
      <calculatedColumnFormula>WSM!N7</calculatedColumnFormula>
    </tableColumn>
    <tableColumn id="3" xr3:uid="{14179A70-6792-422F-AC93-453BD6DADB72}" name="WPM" dataDxfId="42">
      <calculatedColumnFormula>WPM!N7</calculatedColumnFormula>
    </tableColumn>
    <tableColumn id="4" xr3:uid="{F988C7AB-06B8-4AC2-9D9A-8D370698B706}" name="WASPAS" dataDxfId="40">
      <calculatedColumnFormula>WASPAS!M7</calculatedColumnFormula>
    </tableColumn>
    <tableColumn id="5" xr3:uid="{20AA242B-714D-40B0-AFBF-BECAB6677441}" name="TOPSIS" dataDxfId="38">
      <calculatedColumnFormula>TOPSIS!R7</calculatedColumnFormula>
    </tableColumn>
    <tableColumn id="6" xr3:uid="{AF529AE2-8388-402E-9323-ACDE9261C18D}" name="VIKOR" dataDxfId="37">
      <calculatedColumnFormula>VIKOR!Q7</calculatedColumnFormula>
    </tableColumn>
    <tableColumn id="9" xr3:uid="{0B5F237D-78F3-43E9-ABE9-7F72B2E3E2C4}" name="WSM2" dataDxfId="19">
      <calculatedColumnFormula>SUM(Table5733[[#This Row],[WSM]:[VIKOR]]) * $B$6</calculatedColumnFormula>
    </tableColumn>
    <tableColumn id="10" xr3:uid="{72C4094F-C594-4A73-B265-5536828A1CA9}" name="WPM2" dataDxfId="17">
      <calculatedColumnFormula>Table5733[[#This Row],[WSM]]^$B$6+Table5733[[#This Row],[WPM]]^$B$6+Table5733[[#This Row],[WASPAS]]^$B$6+Table5733[[#This Row],[TOPSIS]]^$B$6 +Table5733[[#This Row],[VIKOR]]^$B$6</calculatedColumnFormula>
    </tableColumn>
    <tableColumn id="11" xr3:uid="{2DAB426C-C389-4586-AE4F-3FFC4498D0F8}" name="WASPAS2" dataDxfId="15">
      <calculatedColumnFormula>Table5733[[#This Row],[WSM2]]*$G$6+Table5733[[#This Row],[WPM2]]*$H$6</calculatedColumnFormula>
    </tableColumn>
    <tableColumn id="12" xr3:uid="{DE5F4802-274C-4F60-A101-F627585B4A52}" name="Rank" dataDxfId="13">
      <calculatedColumnFormula>RANK(Table5733[[#This Row],[WASPAS2]],Table5733[WASPAS2],1)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FBE3CFE-C64E-479E-9292-EF94CA5519B1}" name="Table573334" displayName="Table573334" ref="A17:J22" totalsRowShown="0">
  <autoFilter ref="A17:J22" xr:uid="{CFBE3CFE-C64E-479E-9292-EF94CA5519B1}"/>
  <tableColumns count="10">
    <tableColumn id="1" xr3:uid="{AFAEC38F-FDA6-4C51-A770-E392BE4CB1E0}" name="Atribute/ criteria" dataDxfId="45">
      <calculatedColumnFormula>'MAIN SHEET'!A4</calculatedColumnFormula>
    </tableColumn>
    <tableColumn id="2" xr3:uid="{CC36478C-5BFD-43C9-83F7-A6BD835864DA}" name="WSM" dataDxfId="43">
      <calculatedColumnFormula>WSM!N17</calculatedColumnFormula>
    </tableColumn>
    <tableColumn id="3" xr3:uid="{C5F1C233-DB48-495F-985F-B35C9CBE8E54}" name="WPM" dataDxfId="41">
      <calculatedColumnFormula>WPM!N17</calculatedColumnFormula>
    </tableColumn>
    <tableColumn id="4" xr3:uid="{22C150F1-CA48-4A9C-A80C-A90DBC0D0FF4}" name="WASPAS" dataDxfId="39">
      <calculatedColumnFormula>WASPAS!M17</calculatedColumnFormula>
    </tableColumn>
    <tableColumn id="5" xr3:uid="{1DF39748-8E48-4320-BCDA-25AC92972F88}" name="TOPSIS" dataDxfId="36">
      <calculatedColumnFormula>TOPSIS!R20</calculatedColumnFormula>
    </tableColumn>
    <tableColumn id="6" xr3:uid="{E2B4264B-77C8-471D-AE11-9DCCA33BF78B}" name="VIKOR" dataDxfId="35">
      <calculatedColumnFormula>VIKOR!Q20</calculatedColumnFormula>
    </tableColumn>
    <tableColumn id="9" xr3:uid="{01C08E02-23A4-45FA-BDDC-8402AFF84856}" name="WSM2" dataDxfId="18">
      <calculatedColumnFormula>SUM(Table573334[[#This Row],[WSM]:[VIKOR]])*$B$16</calculatedColumnFormula>
    </tableColumn>
    <tableColumn id="10" xr3:uid="{6B0E3103-10CC-41E2-A013-01F044FC6377}" name="WPM2" dataDxfId="16">
      <calculatedColumnFormula>Table573334[[#This Row],[WSM]]^$B$16+Table573334[[#This Row],[WPM]]^$B$16+Table573334[[#This Row],[WASPAS]]^$B$16+Table573334[[#This Row],[TOPSIS]]^$B$16 +Table573334[[#This Row],[VIKOR]]^$B$16</calculatedColumnFormula>
    </tableColumn>
    <tableColumn id="11" xr3:uid="{CA420226-A0D7-4802-A543-AF0BD48C6A11}" name="WASPAS2" dataDxfId="14">
      <calculatedColumnFormula>Table573334[[#This Row],[WSM2]]*$G$16+Table573334[[#This Row],[WPM2]]*$H$16</calculatedColumnFormula>
    </tableColumn>
    <tableColumn id="12" xr3:uid="{D50609F0-9033-408E-9611-946AE114471E}" name="Rank" dataDxfId="12">
      <calculatedColumnFormula>RANK(Table573334[[#This Row],[WASPAS2]],Table573334[WASPAS2],1)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DC52994-2CFD-452F-917F-4D1498CAD3E8}" name="Table37" displayName="Table37" ref="I23:N28" totalsRowShown="0" headerRowDxfId="1" dataDxfId="2" tableBorderDxfId="8">
  <autoFilter ref="I23:N28" xr:uid="{9DC52994-2CFD-452F-917F-4D1498CAD3E8}"/>
  <tableColumns count="6">
    <tableColumn id="1" xr3:uid="{B1661D16-B4EC-48DE-9A0A-BC894158E3ED}" name="Atribute/ criteria" dataDxfId="7"/>
    <tableColumn id="2" xr3:uid="{28729EDE-E2C2-4FA5-B9C0-0D7E187A2D86}" name="Price" dataDxfId="6"/>
    <tableColumn id="3" xr3:uid="{BBFD60CE-0E81-49E6-9171-541A4BD874ED}" name="Storage" dataDxfId="5"/>
    <tableColumn id="4" xr3:uid="{42980528-4384-4620-B950-4264EEE9F890}" name="Camera" dataDxfId="4"/>
    <tableColumn id="5" xr3:uid="{4C5C50BD-22EE-49C3-85A6-B8A30F882DAB}" name="Looks" dataDxfId="3">
      <calculatedColumnFormula>F4</calculatedColumnFormula>
    </tableColumn>
    <tableColumn id="6" xr3:uid="{DC2B4C2E-2CD6-4249-B3CB-B1A457880CAE}" name="Rank" dataDxfId="0">
      <calculatedColumnFormula>VLOOKUP(Table37[[#This Row],[Atribute/ criteria]],Table573334[#All],10,FALSE)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26497C9-7295-4CC1-BC2D-1E4A03B646DC}" name="Table435" displayName="Table435" ref="A2:E9" totalsRowShown="0">
  <autoFilter ref="A2:E9" xr:uid="{D26497C9-7295-4CC1-BC2D-1E4A03B646DC}"/>
  <sortState xmlns:xlrd2="http://schemas.microsoft.com/office/spreadsheetml/2017/richdata2" ref="A3:E7">
    <sortCondition ref="A3:A8"/>
  </sortState>
  <tableColumns count="5">
    <tableColumn id="1" xr3:uid="{14257086-4333-4645-9909-34E4361EFEF5}" name="Atribute/ criteria"/>
    <tableColumn id="2" xr3:uid="{D91D65BC-B050-40F2-97B2-1C1739628858}" name="Price" dataDxfId="34"/>
    <tableColumn id="3" xr3:uid="{22B5C101-8A0E-46CD-B7C2-4867EA0EB264}" name="Storage"/>
    <tableColumn id="4" xr3:uid="{05CFC781-66ED-4080-AE33-88B89AAF9697}" name="Camera"/>
    <tableColumn id="5" xr3:uid="{02B9CF91-B4A5-494E-A17C-7B96F24F00F9}" name="Looks" dataDxfId="33">
      <calculatedColumnFormula>'MAIN SHEET'!F4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943D0B8-487F-4D98-B871-0C7D2BDC856E}" name="Table43536" displayName="Table43536" ref="I2:M7" totalsRowShown="0">
  <autoFilter ref="I2:M7" xr:uid="{6943D0B8-487F-4D98-B871-0C7D2BDC856E}"/>
  <sortState xmlns:xlrd2="http://schemas.microsoft.com/office/spreadsheetml/2017/richdata2" ref="I3:M7">
    <sortCondition ref="I3:I8"/>
  </sortState>
  <tableColumns count="5">
    <tableColumn id="1" xr3:uid="{76151EF2-BB52-4BCD-ABD6-2504F783B099}" name="Atribute/ criteria"/>
    <tableColumn id="2" xr3:uid="{0CB25DA2-51A6-4067-B345-669B800744AC}" name="Price" dataDxfId="32">
      <calculatedColumnFormula>$B$9/Table435[[#This Row],[Price]]</calculatedColumnFormula>
    </tableColumn>
    <tableColumn id="3" xr3:uid="{889E2772-A7EA-4A8E-AAEA-B7110F29195F}" name="Storage" dataDxfId="31">
      <calculatedColumnFormula>$C$9/Table435[[#This Row],[Storage]]</calculatedColumnFormula>
    </tableColumn>
    <tableColumn id="4" xr3:uid="{3CA1177B-684A-4254-AA15-02C29C291246}" name="Camera" dataDxfId="30">
      <calculatedColumnFormula>$D$9/Table435[[#This Row],[Camera]]</calculatedColumnFormula>
    </tableColumn>
    <tableColumn id="5" xr3:uid="{60356564-77AC-4BD3-AACD-02CE9711622F}" name="Looks" dataDxfId="29">
      <calculatedColumnFormula>$E$9/Table435[[#This Row],[Looks]]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2D0940-900D-4A86-B362-D4B276207454}" name="Table7" displayName="Table7" ref="A3:E9" totalsRowShown="0">
  <autoFilter ref="A3:E9" xr:uid="{782D0940-900D-4A86-B362-D4B276207454}"/>
  <tableColumns count="5">
    <tableColumn id="1" xr3:uid="{DA9350C8-F0EB-4900-9CF8-F518E8F32AAF}" name="Atribute/ criteria">
      <calculatedColumnFormula>'MAIN SHEET'!A4</calculatedColumnFormula>
    </tableColumn>
    <tableColumn id="2" xr3:uid="{620A97DB-E9C0-434B-9FC0-0806AF92E4CF}" name="Price">
      <calculatedColumnFormula>'MAIN SHEET'!B4</calculatedColumnFormula>
    </tableColumn>
    <tableColumn id="3" xr3:uid="{82EB22CA-EDEB-441E-A2ED-D7A803F8C54A}" name="Storage">
      <calculatedColumnFormula>'MAIN SHEET'!C4</calculatedColumnFormula>
    </tableColumn>
    <tableColumn id="4" xr3:uid="{D0286410-5589-4201-B870-38CB478DEEDF}" name="Camera">
      <calculatedColumnFormula>'MAIN SHEET'!D4</calculatedColumnFormula>
    </tableColumn>
    <tableColumn id="5" xr3:uid="{E1E1155A-39FD-4816-98BC-000924B93341}" name="LOOKS" dataDxfId="166">
      <calculatedColumnFormula>'MAIN SHEET'!F4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AB70D2C-171F-4B1D-84A8-ECE1D123EB7E}" name="Table711" displayName="Table711" ref="I3:M8" totalsRowShown="0">
  <autoFilter ref="I3:M8" xr:uid="{4AB70D2C-171F-4B1D-84A8-ECE1D123EB7E}"/>
  <tableColumns count="5">
    <tableColumn id="1" xr3:uid="{23D7AD45-2485-469F-9A7B-777F6A4B18BE}" name="Atribute/ criteria">
      <calculatedColumnFormula>A4</calculatedColumnFormula>
    </tableColumn>
    <tableColumn id="2" xr3:uid="{C08FC568-50B0-490A-9879-4884A9639652}" name="Price" dataDxfId="165">
      <calculatedColumnFormula>B4/$B$9</calculatedColumnFormula>
    </tableColumn>
    <tableColumn id="3" xr3:uid="{B741B4B7-37C0-4BEF-99F0-72AD0C00C14A}" name="Storage" dataDxfId="164">
      <calculatedColumnFormula>C4/$C$9</calculatedColumnFormula>
    </tableColumn>
    <tableColumn id="4" xr3:uid="{183427A4-8BF7-4F4F-B99C-B9BAC51A1E01}" name="Camera" dataDxfId="163">
      <calculatedColumnFormula>D4/$D$9</calculatedColumnFormula>
    </tableColumn>
    <tableColumn id="5" xr3:uid="{EDFB5BCF-0E56-4003-AC3C-E796A1BBC10E}" name="LOOKS" dataDxfId="162">
      <calculatedColumnFormula>E4/$E$9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E9E63BC-38A6-4105-8D0C-3B7640BBF4B5}" name="Table71112" displayName="Table71112" ref="I11:M16" totalsRowShown="0">
  <autoFilter ref="I11:M16" xr:uid="{DE9E63BC-38A6-4105-8D0C-3B7640BBF4B5}"/>
  <tableColumns count="5">
    <tableColumn id="1" xr3:uid="{95DF0D9C-CB21-43C2-A3FA-4C00E44F7954}" name="Atribute/ criteria" dataDxfId="161">
      <calculatedColumnFormula>I4</calculatedColumnFormula>
    </tableColumn>
    <tableColumn id="2" xr3:uid="{F7FF892E-5CAE-4ACB-AD4C-D85C1E57D79A}" name="Price" dataDxfId="157">
      <calculatedColumnFormula>J4*LN(J4)</calculatedColumnFormula>
    </tableColumn>
    <tableColumn id="3" xr3:uid="{63ECCE19-2907-421D-B324-7070DB014244}" name="Storage" dataDxfId="160">
      <calculatedColumnFormula>K4*LN(K4)</calculatedColumnFormula>
    </tableColumn>
    <tableColumn id="4" xr3:uid="{87F0FE0B-F71E-4732-87DB-268F298298CC}" name="Camera" dataDxfId="159">
      <calculatedColumnFormula>L4*LN(L4)</calculatedColumnFormula>
    </tableColumn>
    <tableColumn id="5" xr3:uid="{45ADC927-9AFF-49A9-AD63-3C4CF1675474}" name="LOOKS" dataDxfId="158">
      <calculatedColumnFormula>M4*LN(M4)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4F28619-453B-4C10-82BE-0B0305F4C3EC}" name="Table17" displayName="Table17" ref="A12:C17" totalsRowShown="0">
  <autoFilter ref="A12:C17" xr:uid="{34F28619-453B-4C10-82BE-0B0305F4C3EC}"/>
  <tableColumns count="3">
    <tableColumn id="1" xr3:uid="{DDFAD181-921C-400C-B756-7E75F5EBEF57}" name="Atribute/ criteria">
      <calculatedColumnFormula>A4</calculatedColumnFormula>
    </tableColumn>
    <tableColumn id="2" xr3:uid="{983B3C09-7692-46B5-80EB-59D19687F970}" name="WSM" dataDxfId="105">
      <calculatedColumnFormula>WSM!M17</calculatedColumnFormula>
    </tableColumn>
    <tableColumn id="3" xr3:uid="{7651FF5D-F367-43E2-854D-A3CA7B75B50A}" name="WPM" dataDxfId="104">
      <calculatedColumnFormula>WPM!M17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0EAC5-8464-49F2-92D4-363DAB03CE52}">
  <dimension ref="A2:P28"/>
  <sheetViews>
    <sheetView topLeftCell="B1" workbookViewId="0">
      <selection activeCell="E10" sqref="E10"/>
    </sheetView>
  </sheetViews>
  <sheetFormatPr defaultRowHeight="14.4" x14ac:dyDescent="0.3"/>
  <cols>
    <col min="1" max="1" width="17.33203125" bestFit="1" customWidth="1"/>
    <col min="2" max="2" width="10" bestFit="1" customWidth="1"/>
    <col min="3" max="4" width="9.6640625" bestFit="1" customWidth="1"/>
    <col min="5" max="5" width="9.5546875" bestFit="1" customWidth="1"/>
    <col min="9" max="9" width="20" bestFit="1" customWidth="1"/>
    <col min="10" max="10" width="12" bestFit="1" customWidth="1"/>
    <col min="11" max="11" width="11" bestFit="1" customWidth="1"/>
    <col min="12" max="13" width="12" bestFit="1" customWidth="1"/>
    <col min="15" max="15" width="10.21875" customWidth="1"/>
  </cols>
  <sheetData>
    <row r="2" spans="1:16" x14ac:dyDescent="0.3">
      <c r="B2" t="s">
        <v>15</v>
      </c>
      <c r="C2" t="s">
        <v>14</v>
      </c>
      <c r="D2" t="s">
        <v>14</v>
      </c>
      <c r="E2" t="s">
        <v>14</v>
      </c>
      <c r="I2" t="s">
        <v>16</v>
      </c>
      <c r="J2" s="1" t="str">
        <f>Table4[[#Headers],[Price]]</f>
        <v>Price</v>
      </c>
      <c r="K2" s="1" t="str">
        <f>Table4[[#Headers],[Storage]]</f>
        <v>Storage</v>
      </c>
      <c r="L2" s="1" t="str">
        <f>Table4[[#Headers],[Camera]]</f>
        <v>Camera</v>
      </c>
      <c r="M2" s="1" t="str">
        <f>Table4[[#Headers],[Looks]]</f>
        <v>Looks</v>
      </c>
    </row>
    <row r="3" spans="1:16" x14ac:dyDescent="0.3">
      <c r="A3" t="s">
        <v>0</v>
      </c>
      <c r="B3" s="1" t="s">
        <v>1</v>
      </c>
      <c r="C3" t="s">
        <v>2</v>
      </c>
      <c r="D3" t="s">
        <v>3</v>
      </c>
      <c r="E3" t="s">
        <v>4</v>
      </c>
      <c r="F3" t="s">
        <v>32</v>
      </c>
      <c r="I3" t="s">
        <v>42</v>
      </c>
      <c r="J3">
        <v>0.1</v>
      </c>
      <c r="K3">
        <v>0.5</v>
      </c>
      <c r="L3">
        <v>0.3</v>
      </c>
      <c r="M3">
        <v>0.1</v>
      </c>
    </row>
    <row r="4" spans="1:16" x14ac:dyDescent="0.3">
      <c r="A4" t="s">
        <v>5</v>
      </c>
      <c r="B4" s="2">
        <v>400</v>
      </c>
      <c r="C4">
        <v>16</v>
      </c>
      <c r="D4">
        <v>20</v>
      </c>
      <c r="E4" t="s">
        <v>62</v>
      </c>
      <c r="F4">
        <f>VLOOKUP(Table4[[#This Row],[Looks]],O:P,2,FALSE)</f>
        <v>7</v>
      </c>
      <c r="I4" t="s">
        <v>41</v>
      </c>
      <c r="J4">
        <f>Entropy!J21</f>
        <v>0.39121086917615311</v>
      </c>
      <c r="K4">
        <f>Entropy!K21</f>
        <v>0.21348619910295424</v>
      </c>
      <c r="L4">
        <f>Entropy!L21</f>
        <v>0.19237296750781807</v>
      </c>
      <c r="M4">
        <f>Entropy!M21</f>
        <v>0.20292996421307458</v>
      </c>
      <c r="O4" t="s">
        <v>62</v>
      </c>
      <c r="P4">
        <v>7</v>
      </c>
    </row>
    <row r="5" spans="1:16" x14ac:dyDescent="0.3">
      <c r="A5" t="s">
        <v>6</v>
      </c>
      <c r="B5" s="2">
        <v>350</v>
      </c>
      <c r="C5">
        <v>32</v>
      </c>
      <c r="D5">
        <v>40</v>
      </c>
      <c r="E5" t="s">
        <v>7</v>
      </c>
      <c r="F5">
        <f>VLOOKUP(Table4[[#This Row],[Looks]],O:P,2,FALSE)</f>
        <v>3</v>
      </c>
      <c r="O5" t="s">
        <v>13</v>
      </c>
      <c r="P5">
        <v>6</v>
      </c>
    </row>
    <row r="6" spans="1:16" x14ac:dyDescent="0.3">
      <c r="A6" t="s">
        <v>8</v>
      </c>
      <c r="B6" s="2">
        <v>200</v>
      </c>
      <c r="C6">
        <v>16</v>
      </c>
      <c r="D6">
        <v>20</v>
      </c>
      <c r="E6" t="s">
        <v>28</v>
      </c>
      <c r="F6">
        <f>VLOOKUP(Table4[[#This Row],[Looks]],O:P,2,FALSE)</f>
        <v>2</v>
      </c>
      <c r="O6" t="s">
        <v>11</v>
      </c>
      <c r="P6">
        <v>5</v>
      </c>
    </row>
    <row r="7" spans="1:16" x14ac:dyDescent="0.3">
      <c r="A7" t="s">
        <v>10</v>
      </c>
      <c r="B7" s="2">
        <v>1000</v>
      </c>
      <c r="C7">
        <v>8</v>
      </c>
      <c r="D7">
        <v>10</v>
      </c>
      <c r="E7" t="s">
        <v>7</v>
      </c>
      <c r="F7">
        <f>VLOOKUP(Table4[[#This Row],[Looks]],O:P,2,FALSE)</f>
        <v>3</v>
      </c>
      <c r="O7" t="s">
        <v>9</v>
      </c>
      <c r="P7">
        <v>4</v>
      </c>
    </row>
    <row r="8" spans="1:16" x14ac:dyDescent="0.3">
      <c r="A8" t="s">
        <v>12</v>
      </c>
      <c r="B8" s="2">
        <v>200</v>
      </c>
      <c r="C8">
        <v>32</v>
      </c>
      <c r="D8">
        <v>35</v>
      </c>
      <c r="E8" t="s">
        <v>13</v>
      </c>
      <c r="F8">
        <f>VLOOKUP(Table4[[#This Row],[Looks]],O:P,2,FALSE)</f>
        <v>6</v>
      </c>
      <c r="O8" t="s">
        <v>7</v>
      </c>
      <c r="P8">
        <v>3</v>
      </c>
    </row>
    <row r="9" spans="1:16" x14ac:dyDescent="0.3">
      <c r="A9" t="s">
        <v>14</v>
      </c>
      <c r="B9" s="1">
        <f>MAX(Table4[Price])</f>
        <v>1000</v>
      </c>
      <c r="C9">
        <f>+MAX(Table4[Storage])</f>
        <v>32</v>
      </c>
      <c r="D9">
        <f>MAX(Table4[Camera])</f>
        <v>40</v>
      </c>
      <c r="F9">
        <f>MAX(Table4[LOOKS2])</f>
        <v>7</v>
      </c>
      <c r="O9" t="s">
        <v>28</v>
      </c>
      <c r="P9">
        <v>2</v>
      </c>
    </row>
    <row r="10" spans="1:16" x14ac:dyDescent="0.3">
      <c r="A10" t="s">
        <v>15</v>
      </c>
      <c r="B10" s="1">
        <f>MIN(Table4[Price])</f>
        <v>200</v>
      </c>
      <c r="C10">
        <f>MIN(Table4[Storage])</f>
        <v>8</v>
      </c>
      <c r="D10">
        <f>MIN(Table4[Camera])</f>
        <v>10</v>
      </c>
      <c r="F10">
        <f>MIN(Table4[LOOKS2])</f>
        <v>2</v>
      </c>
      <c r="O10" t="s">
        <v>29</v>
      </c>
      <c r="P10">
        <v>1</v>
      </c>
    </row>
    <row r="11" spans="1:16" x14ac:dyDescent="0.3">
      <c r="I11" t="s">
        <v>79</v>
      </c>
    </row>
    <row r="12" spans="1:16" x14ac:dyDescent="0.3">
      <c r="I12" t="s">
        <v>48</v>
      </c>
    </row>
    <row r="14" spans="1:16" x14ac:dyDescent="0.3">
      <c r="I14" t="s">
        <v>0</v>
      </c>
      <c r="J14" s="1" t="s">
        <v>1</v>
      </c>
      <c r="K14" t="s">
        <v>2</v>
      </c>
      <c r="L14" t="s">
        <v>3</v>
      </c>
      <c r="M14" t="s">
        <v>4</v>
      </c>
      <c r="N14" t="s">
        <v>50</v>
      </c>
    </row>
    <row r="15" spans="1:16" x14ac:dyDescent="0.3">
      <c r="I15" t="s">
        <v>5</v>
      </c>
      <c r="J15" s="2">
        <v>400</v>
      </c>
      <c r="K15">
        <v>16</v>
      </c>
      <c r="L15">
        <v>20</v>
      </c>
      <c r="M15">
        <f t="shared" ref="M15:M19" si="0">F4</f>
        <v>7</v>
      </c>
      <c r="N15">
        <f>VLOOKUP(Table437[[#This Row],[Atribute/ criteria]],Table5733[#All],10,FALSE)</f>
        <v>4</v>
      </c>
    </row>
    <row r="16" spans="1:16" x14ac:dyDescent="0.3">
      <c r="I16" t="s">
        <v>6</v>
      </c>
      <c r="J16" s="2">
        <v>350</v>
      </c>
      <c r="K16">
        <v>32</v>
      </c>
      <c r="L16">
        <v>40</v>
      </c>
      <c r="M16">
        <f t="shared" si="0"/>
        <v>3</v>
      </c>
      <c r="N16">
        <f>VLOOKUP(Table437[[#This Row],[Atribute/ criteria]],Table5733[#All],10,FALSE)</f>
        <v>1</v>
      </c>
    </row>
    <row r="17" spans="9:14" x14ac:dyDescent="0.3">
      <c r="I17" t="s">
        <v>8</v>
      </c>
      <c r="J17" s="2">
        <v>200</v>
      </c>
      <c r="K17">
        <v>16</v>
      </c>
      <c r="L17">
        <v>20</v>
      </c>
      <c r="M17">
        <f t="shared" si="0"/>
        <v>2</v>
      </c>
      <c r="N17">
        <f>VLOOKUP(Table437[[#This Row],[Atribute/ criteria]],Table5733[#All],10,FALSE)</f>
        <v>5</v>
      </c>
    </row>
    <row r="18" spans="9:14" x14ac:dyDescent="0.3">
      <c r="I18" t="s">
        <v>10</v>
      </c>
      <c r="J18" s="2">
        <v>100</v>
      </c>
      <c r="K18">
        <v>32</v>
      </c>
      <c r="L18">
        <v>40</v>
      </c>
      <c r="M18">
        <f t="shared" si="0"/>
        <v>3</v>
      </c>
      <c r="N18">
        <f>VLOOKUP(Table437[[#This Row],[Atribute/ criteria]],Table5733[#All],10,FALSE)</f>
        <v>3</v>
      </c>
    </row>
    <row r="19" spans="9:14" x14ac:dyDescent="0.3">
      <c r="I19" t="s">
        <v>12</v>
      </c>
      <c r="J19" s="2">
        <v>200</v>
      </c>
      <c r="K19">
        <v>16</v>
      </c>
      <c r="L19">
        <v>35</v>
      </c>
      <c r="M19">
        <f t="shared" si="0"/>
        <v>6</v>
      </c>
      <c r="N19">
        <f>VLOOKUP(Table437[[#This Row],[Atribute/ criteria]],Table5733[#All],10,FALSE)</f>
        <v>2</v>
      </c>
    </row>
    <row r="21" spans="9:14" x14ac:dyDescent="0.3">
      <c r="I21" t="s">
        <v>46</v>
      </c>
    </row>
    <row r="23" spans="9:14" x14ac:dyDescent="0.3">
      <c r="I23" s="4" t="s">
        <v>0</v>
      </c>
      <c r="J23" s="39" t="s">
        <v>1</v>
      </c>
      <c r="K23" s="4" t="s">
        <v>2</v>
      </c>
      <c r="L23" s="4" t="s">
        <v>3</v>
      </c>
      <c r="M23" s="4" t="s">
        <v>4</v>
      </c>
      <c r="N23" s="42" t="s">
        <v>50</v>
      </c>
    </row>
    <row r="24" spans="9:14" x14ac:dyDescent="0.3">
      <c r="I24" s="7" t="s">
        <v>5</v>
      </c>
      <c r="J24" s="40">
        <v>400</v>
      </c>
      <c r="K24" s="7">
        <v>16</v>
      </c>
      <c r="L24" s="7">
        <v>20</v>
      </c>
      <c r="M24" s="7">
        <f>F4</f>
        <v>7</v>
      </c>
      <c r="N24">
        <f>VLOOKUP(Table37[[#This Row],[Atribute/ criteria]],Table573334[#All],10,FALSE)</f>
        <v>4</v>
      </c>
    </row>
    <row r="25" spans="9:14" x14ac:dyDescent="0.3">
      <c r="I25" s="9" t="s">
        <v>6</v>
      </c>
      <c r="J25" s="41">
        <v>350</v>
      </c>
      <c r="K25" s="9">
        <v>32</v>
      </c>
      <c r="L25" s="9">
        <v>40</v>
      </c>
      <c r="M25" s="7">
        <f t="shared" ref="M25:M28" si="1">F5</f>
        <v>3</v>
      </c>
      <c r="N25">
        <f>VLOOKUP(Table37[[#This Row],[Atribute/ criteria]],Table573334[#All],10,FALSE)</f>
        <v>3</v>
      </c>
    </row>
    <row r="26" spans="9:14" x14ac:dyDescent="0.3">
      <c r="I26" s="7" t="s">
        <v>8</v>
      </c>
      <c r="J26" s="40">
        <v>200</v>
      </c>
      <c r="K26" s="7">
        <v>16</v>
      </c>
      <c r="L26" s="7">
        <v>20</v>
      </c>
      <c r="M26" s="7">
        <f t="shared" si="1"/>
        <v>2</v>
      </c>
      <c r="N26">
        <f>VLOOKUP(Table37[[#This Row],[Atribute/ criteria]],Table573334[#All],10,FALSE)</f>
        <v>5</v>
      </c>
    </row>
    <row r="27" spans="9:14" x14ac:dyDescent="0.3">
      <c r="I27" s="9" t="s">
        <v>10</v>
      </c>
      <c r="J27" s="41">
        <v>100</v>
      </c>
      <c r="K27" s="9">
        <v>32</v>
      </c>
      <c r="L27" s="9">
        <v>40</v>
      </c>
      <c r="M27" s="7">
        <f t="shared" si="1"/>
        <v>3</v>
      </c>
      <c r="N27">
        <f>VLOOKUP(Table37[[#This Row],[Atribute/ criteria]],Table573334[#All],10,FALSE)</f>
        <v>1</v>
      </c>
    </row>
    <row r="28" spans="9:14" x14ac:dyDescent="0.3">
      <c r="I28" s="7" t="s">
        <v>12</v>
      </c>
      <c r="J28" s="40">
        <v>200</v>
      </c>
      <c r="K28" s="7">
        <v>16</v>
      </c>
      <c r="L28" s="7">
        <v>35</v>
      </c>
      <c r="M28" s="7">
        <f t="shared" si="1"/>
        <v>6</v>
      </c>
      <c r="N28">
        <f>VLOOKUP(Table37[[#This Row],[Atribute/ criteria]],Table573334[#All],10,FALSE)</f>
        <v>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575B-4D4D-4021-A6E8-4F8F374360DD}">
  <dimension ref="A4:E11"/>
  <sheetViews>
    <sheetView workbookViewId="0">
      <selection activeCell="E4" sqref="E4"/>
    </sheetView>
  </sheetViews>
  <sheetFormatPr defaultRowHeight="14.4" x14ac:dyDescent="0.3"/>
  <cols>
    <col min="1" max="1" width="10.21875" bestFit="1" customWidth="1"/>
    <col min="2" max="2" width="14.6640625" bestFit="1" customWidth="1"/>
    <col min="3" max="3" width="9.88671875" bestFit="1" customWidth="1"/>
    <col min="5" max="5" width="9.5546875" bestFit="1" customWidth="1"/>
  </cols>
  <sheetData>
    <row r="4" spans="1:5" x14ac:dyDescent="0.3">
      <c r="B4" t="s">
        <v>24</v>
      </c>
      <c r="C4" t="s">
        <v>26</v>
      </c>
      <c r="D4" t="s">
        <v>25</v>
      </c>
      <c r="E4" t="s">
        <v>27</v>
      </c>
    </row>
    <row r="5" spans="1:5" x14ac:dyDescent="0.3">
      <c r="A5" t="s">
        <v>17</v>
      </c>
    </row>
    <row r="6" spans="1:5" x14ac:dyDescent="0.3">
      <c r="A6" t="s">
        <v>18</v>
      </c>
    </row>
    <row r="7" spans="1:5" x14ac:dyDescent="0.3">
      <c r="A7" t="s">
        <v>19</v>
      </c>
    </row>
    <row r="8" spans="1:5" x14ac:dyDescent="0.3">
      <c r="A8" t="s">
        <v>20</v>
      </c>
    </row>
    <row r="9" spans="1:5" x14ac:dyDescent="0.3">
      <c r="A9" t="s">
        <v>21</v>
      </c>
    </row>
    <row r="10" spans="1:5" x14ac:dyDescent="0.3">
      <c r="A10" t="s">
        <v>22</v>
      </c>
    </row>
    <row r="11" spans="1:5" x14ac:dyDescent="0.3">
      <c r="A11" t="s">
        <v>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E307-BBD4-4D83-BDFF-0D6A3AE11842}">
  <dimension ref="A1:M15"/>
  <sheetViews>
    <sheetView workbookViewId="0">
      <selection activeCell="P1" sqref="P1:T4"/>
    </sheetView>
  </sheetViews>
  <sheetFormatPr defaultRowHeight="14.4" x14ac:dyDescent="0.3"/>
  <sheetData>
    <row r="1" spans="1:13" x14ac:dyDescent="0.3">
      <c r="J1" t="s">
        <v>15</v>
      </c>
    </row>
    <row r="2" spans="1:13" x14ac:dyDescent="0.3">
      <c r="A2" t="s">
        <v>0</v>
      </c>
      <c r="B2" s="1" t="s">
        <v>1</v>
      </c>
      <c r="C2" t="s">
        <v>2</v>
      </c>
      <c r="D2" t="s">
        <v>3</v>
      </c>
      <c r="E2" t="s">
        <v>4</v>
      </c>
      <c r="I2" t="s">
        <v>0</v>
      </c>
      <c r="J2" s="1" t="s">
        <v>1</v>
      </c>
      <c r="K2" t="s">
        <v>2</v>
      </c>
      <c r="L2" t="s">
        <v>3</v>
      </c>
      <c r="M2" t="s">
        <v>4</v>
      </c>
    </row>
    <row r="3" spans="1:13" x14ac:dyDescent="0.3">
      <c r="A3" t="s">
        <v>5</v>
      </c>
      <c r="B3" s="2">
        <v>400</v>
      </c>
      <c r="C3">
        <v>16</v>
      </c>
      <c r="D3">
        <v>20</v>
      </c>
      <c r="E3">
        <f>'MAIN SHEET'!F4</f>
        <v>7</v>
      </c>
      <c r="I3" t="s">
        <v>5</v>
      </c>
      <c r="J3" s="2">
        <f>$B$9/Table435[[#This Row],[Price]]</f>
        <v>0.25</v>
      </c>
      <c r="K3" s="2">
        <f>$C$9/Table435[[#This Row],[Storage]]</f>
        <v>1</v>
      </c>
      <c r="L3" s="2">
        <f>$D$9/Table435[[#This Row],[Camera]]</f>
        <v>1</v>
      </c>
      <c r="M3" s="2">
        <f>$E$9/Table435[[#This Row],[Looks]]</f>
        <v>0.2857142857142857</v>
      </c>
    </row>
    <row r="4" spans="1:13" x14ac:dyDescent="0.3">
      <c r="A4" t="s">
        <v>6</v>
      </c>
      <c r="B4" s="2">
        <v>350</v>
      </c>
      <c r="C4">
        <v>32</v>
      </c>
      <c r="D4">
        <v>40</v>
      </c>
      <c r="E4">
        <f>'MAIN SHEET'!F5</f>
        <v>3</v>
      </c>
      <c r="I4" t="s">
        <v>6</v>
      </c>
      <c r="J4" s="2">
        <f>$B$9/Table435[[#This Row],[Price]]</f>
        <v>0.2857142857142857</v>
      </c>
      <c r="K4" s="2">
        <f>$C$9/Table435[[#This Row],[Storage]]</f>
        <v>0.5</v>
      </c>
      <c r="L4" s="2">
        <f>$D$9/Table435[[#This Row],[Camera]]</f>
        <v>0.5</v>
      </c>
      <c r="M4" s="2">
        <f>$E$9/Table435[[#This Row],[Looks]]</f>
        <v>0.66666666666666663</v>
      </c>
    </row>
    <row r="5" spans="1:13" x14ac:dyDescent="0.3">
      <c r="A5" t="s">
        <v>8</v>
      </c>
      <c r="B5" s="2">
        <v>200</v>
      </c>
      <c r="C5">
        <v>16</v>
      </c>
      <c r="D5">
        <v>20</v>
      </c>
      <c r="E5">
        <f>'MAIN SHEET'!F6</f>
        <v>2</v>
      </c>
      <c r="I5" t="s">
        <v>8</v>
      </c>
      <c r="J5" s="2">
        <f>$B$9/Table435[[#This Row],[Price]]</f>
        <v>0.5</v>
      </c>
      <c r="K5" s="2">
        <f>$C$9/Table435[[#This Row],[Storage]]</f>
        <v>1</v>
      </c>
      <c r="L5" s="2">
        <f>$D$9/Table435[[#This Row],[Camera]]</f>
        <v>1</v>
      </c>
      <c r="M5" s="2">
        <f>$E$9/Table435[[#This Row],[Looks]]</f>
        <v>1</v>
      </c>
    </row>
    <row r="6" spans="1:13" x14ac:dyDescent="0.3">
      <c r="A6" t="s">
        <v>10</v>
      </c>
      <c r="B6" s="2">
        <v>100</v>
      </c>
      <c r="C6">
        <v>32</v>
      </c>
      <c r="D6">
        <v>40</v>
      </c>
      <c r="E6">
        <f>'MAIN SHEET'!F7</f>
        <v>3</v>
      </c>
      <c r="I6" t="s">
        <v>10</v>
      </c>
      <c r="J6" s="2">
        <f>$B$9/Table435[[#This Row],[Price]]</f>
        <v>1</v>
      </c>
      <c r="K6" s="2">
        <f>$C$9/Table435[[#This Row],[Storage]]</f>
        <v>0.5</v>
      </c>
      <c r="L6" s="2">
        <f>$D$9/Table435[[#This Row],[Camera]]</f>
        <v>0.5</v>
      </c>
      <c r="M6" s="2">
        <f>$E$9/Table435[[#This Row],[Looks]]</f>
        <v>0.66666666666666663</v>
      </c>
    </row>
    <row r="7" spans="1:13" x14ac:dyDescent="0.3">
      <c r="A7" t="s">
        <v>12</v>
      </c>
      <c r="B7" s="2">
        <v>200</v>
      </c>
      <c r="C7">
        <v>16</v>
      </c>
      <c r="D7">
        <v>35</v>
      </c>
      <c r="E7">
        <f>'MAIN SHEET'!F8</f>
        <v>6</v>
      </c>
      <c r="I7" t="s">
        <v>12</v>
      </c>
      <c r="J7" s="2">
        <f>$B$9/Table435[[#This Row],[Price]]</f>
        <v>0.5</v>
      </c>
      <c r="K7" s="2">
        <f>$C$9/Table435[[#This Row],[Storage]]</f>
        <v>1</v>
      </c>
      <c r="L7" s="2">
        <f>$D$9/Table435[[#This Row],[Camera]]</f>
        <v>0.5714285714285714</v>
      </c>
      <c r="M7" s="2">
        <f>$E$9/Table435[[#This Row],[Looks]]</f>
        <v>0.33333333333333331</v>
      </c>
    </row>
    <row r="8" spans="1:13" x14ac:dyDescent="0.3">
      <c r="A8" t="s">
        <v>14</v>
      </c>
      <c r="B8" s="2">
        <f>SUBTOTAL(4,B3:B7)</f>
        <v>400</v>
      </c>
      <c r="C8" s="2">
        <f t="shared" ref="C8:E8" si="0">SUBTOTAL(4,C3:C7)</f>
        <v>32</v>
      </c>
      <c r="D8" s="2">
        <f t="shared" si="0"/>
        <v>40</v>
      </c>
      <c r="E8" s="2">
        <f>'MAIN SHEET'!F9</f>
        <v>7</v>
      </c>
      <c r="J8" s="2"/>
      <c r="K8" s="2"/>
      <c r="L8" s="2"/>
      <c r="M8" s="2"/>
    </row>
    <row r="9" spans="1:13" x14ac:dyDescent="0.3">
      <c r="A9" t="s">
        <v>15</v>
      </c>
      <c r="B9" s="2">
        <f>SUBTOTAL(5,B4:B8)</f>
        <v>100</v>
      </c>
      <c r="C9" s="2">
        <f t="shared" ref="C9:E9" si="1">SUBTOTAL(5,C4:C8)</f>
        <v>16</v>
      </c>
      <c r="D9" s="2">
        <f t="shared" si="1"/>
        <v>20</v>
      </c>
      <c r="E9" s="2">
        <f>'MAIN SHEET'!F10</f>
        <v>2</v>
      </c>
      <c r="J9" s="2" t="s">
        <v>14</v>
      </c>
      <c r="K9" s="2"/>
      <c r="L9" s="2"/>
      <c r="M9" s="2"/>
    </row>
    <row r="10" spans="1:13" x14ac:dyDescent="0.3">
      <c r="I10" s="3" t="s">
        <v>0</v>
      </c>
      <c r="J10" s="39" t="s">
        <v>1</v>
      </c>
      <c r="K10" s="4" t="s">
        <v>2</v>
      </c>
      <c r="L10" s="4" t="s">
        <v>3</v>
      </c>
      <c r="M10" s="5" t="s">
        <v>4</v>
      </c>
    </row>
    <row r="11" spans="1:13" x14ac:dyDescent="0.3">
      <c r="I11" s="6" t="s">
        <v>5</v>
      </c>
      <c r="J11" s="40">
        <f>B3/$B$8</f>
        <v>1</v>
      </c>
      <c r="K11" s="40">
        <f>C3/$C$8</f>
        <v>0.5</v>
      </c>
      <c r="L11" s="40">
        <f>D3/$D$8</f>
        <v>0.5</v>
      </c>
      <c r="M11" s="40">
        <f>E3/$E$8</f>
        <v>1</v>
      </c>
    </row>
    <row r="12" spans="1:13" x14ac:dyDescent="0.3">
      <c r="I12" s="8" t="s">
        <v>6</v>
      </c>
      <c r="J12" s="40">
        <f t="shared" ref="J12:J15" si="2">B4/$B$8</f>
        <v>0.875</v>
      </c>
      <c r="K12" s="40">
        <f t="shared" ref="K12:K15" si="3">C4/$C$8</f>
        <v>1</v>
      </c>
      <c r="L12" s="40">
        <f t="shared" ref="L12:L15" si="4">D4/$D$8</f>
        <v>1</v>
      </c>
      <c r="M12" s="40">
        <f t="shared" ref="M12:M15" si="5">E4/$E$8</f>
        <v>0.42857142857142855</v>
      </c>
    </row>
    <row r="13" spans="1:13" x14ac:dyDescent="0.3">
      <c r="I13" s="6" t="s">
        <v>8</v>
      </c>
      <c r="J13" s="40">
        <f t="shared" si="2"/>
        <v>0.5</v>
      </c>
      <c r="K13" s="40">
        <f t="shared" si="3"/>
        <v>0.5</v>
      </c>
      <c r="L13" s="40">
        <f t="shared" si="4"/>
        <v>0.5</v>
      </c>
      <c r="M13" s="40">
        <f t="shared" si="5"/>
        <v>0.2857142857142857</v>
      </c>
    </row>
    <row r="14" spans="1:13" x14ac:dyDescent="0.3">
      <c r="I14" s="8" t="s">
        <v>10</v>
      </c>
      <c r="J14" s="40">
        <f t="shared" si="2"/>
        <v>0.25</v>
      </c>
      <c r="K14" s="40">
        <f t="shared" si="3"/>
        <v>1</v>
      </c>
      <c r="L14" s="40">
        <f t="shared" si="4"/>
        <v>1</v>
      </c>
      <c r="M14" s="40">
        <f t="shared" si="5"/>
        <v>0.42857142857142855</v>
      </c>
    </row>
    <row r="15" spans="1:13" x14ac:dyDescent="0.3">
      <c r="I15" s="6" t="s">
        <v>12</v>
      </c>
      <c r="J15" s="40">
        <f t="shared" si="2"/>
        <v>0.5</v>
      </c>
      <c r="K15" s="40">
        <f t="shared" si="3"/>
        <v>0.5</v>
      </c>
      <c r="L15" s="40">
        <f t="shared" si="4"/>
        <v>0.875</v>
      </c>
      <c r="M15" s="40">
        <f t="shared" si="5"/>
        <v>0.8571428571428571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4190-348B-40D0-873B-6871C0E21CDC}">
  <dimension ref="A1:T23"/>
  <sheetViews>
    <sheetView workbookViewId="0">
      <selection activeCell="E25" sqref="E25"/>
    </sheetView>
  </sheetViews>
  <sheetFormatPr defaultRowHeight="14.4" x14ac:dyDescent="0.3"/>
  <cols>
    <col min="1" max="1" width="16.88671875" customWidth="1"/>
    <col min="3" max="4" width="9.33203125" customWidth="1"/>
    <col min="5" max="5" width="9.77734375" bestFit="1" customWidth="1"/>
  </cols>
  <sheetData>
    <row r="1" spans="1:19" x14ac:dyDescent="0.3">
      <c r="G1" t="s">
        <v>35</v>
      </c>
      <c r="H1">
        <f>COUNT(Table711[Price])</f>
        <v>5</v>
      </c>
    </row>
    <row r="2" spans="1:19" x14ac:dyDescent="0.3">
      <c r="A2" t="s">
        <v>30</v>
      </c>
      <c r="B2">
        <f>'MAIN SHEET'!J3</f>
        <v>0.1</v>
      </c>
      <c r="C2">
        <f>'MAIN SHEET'!K3</f>
        <v>0.5</v>
      </c>
      <c r="D2">
        <f>'MAIN SHEET'!L3</f>
        <v>0.3</v>
      </c>
      <c r="E2">
        <f>'MAIN SHEET'!M3</f>
        <v>0.1</v>
      </c>
      <c r="G2" t="s">
        <v>34</v>
      </c>
      <c r="H2">
        <f xml:space="preserve"> -(1 / LN(H1))</f>
        <v>-0.62133493455961186</v>
      </c>
    </row>
    <row r="3" spans="1:19" x14ac:dyDescent="0.3">
      <c r="A3" t="s">
        <v>0</v>
      </c>
      <c r="B3" t="s">
        <v>1</v>
      </c>
      <c r="C3" t="s">
        <v>2</v>
      </c>
      <c r="D3" t="s">
        <v>3</v>
      </c>
      <c r="E3" t="s">
        <v>31</v>
      </c>
      <c r="I3" t="s">
        <v>0</v>
      </c>
      <c r="J3" t="s">
        <v>1</v>
      </c>
      <c r="K3" t="s">
        <v>2</v>
      </c>
      <c r="L3" t="s">
        <v>3</v>
      </c>
      <c r="M3" t="s">
        <v>31</v>
      </c>
      <c r="Q3" t="s">
        <v>0</v>
      </c>
      <c r="R3" t="s">
        <v>44</v>
      </c>
      <c r="S3" t="s">
        <v>49</v>
      </c>
    </row>
    <row r="4" spans="1:19" x14ac:dyDescent="0.3">
      <c r="A4" t="str">
        <f>'MAIN SHEET'!A4</f>
        <v>Mobile 1</v>
      </c>
      <c r="B4">
        <f>'MAIN SHEET'!B4</f>
        <v>400</v>
      </c>
      <c r="C4">
        <f>'MAIN SHEET'!C4</f>
        <v>16</v>
      </c>
      <c r="D4">
        <f>'MAIN SHEET'!D4</f>
        <v>20</v>
      </c>
      <c r="E4">
        <f>'MAIN SHEET'!F4</f>
        <v>7</v>
      </c>
      <c r="I4" t="str">
        <f>A4</f>
        <v>Mobile 1</v>
      </c>
      <c r="J4">
        <f>B4/$B$9</f>
        <v>0.18604651162790697</v>
      </c>
      <c r="K4">
        <f>C4/$C$9</f>
        <v>0.15384615384615385</v>
      </c>
      <c r="L4">
        <f>D4/$D$9</f>
        <v>0.16</v>
      </c>
      <c r="M4">
        <f>E4/$E$9</f>
        <v>0.33333333333333331</v>
      </c>
      <c r="Q4" t="str">
        <f>Table7[[#This Row],[Atribute/ criteria]]</f>
        <v>Mobile 1</v>
      </c>
      <c r="R4">
        <f>B13/$B$18</f>
        <v>0.16281645806471207</v>
      </c>
      <c r="S4">
        <f>C13/$C$18</f>
        <v>0.19447086594926524</v>
      </c>
    </row>
    <row r="5" spans="1:19" x14ac:dyDescent="0.3">
      <c r="A5" t="str">
        <f>'MAIN SHEET'!A5</f>
        <v>Mobile 2</v>
      </c>
      <c r="B5">
        <f>'MAIN SHEET'!B5</f>
        <v>350</v>
      </c>
      <c r="C5">
        <f>'MAIN SHEET'!C5</f>
        <v>32</v>
      </c>
      <c r="D5">
        <f>'MAIN SHEET'!D5</f>
        <v>40</v>
      </c>
      <c r="E5">
        <f>'MAIN SHEET'!F5</f>
        <v>3</v>
      </c>
      <c r="I5" t="str">
        <f>A5</f>
        <v>Mobile 2</v>
      </c>
      <c r="J5">
        <f>B5/$B$9</f>
        <v>0.16279069767441862</v>
      </c>
      <c r="K5">
        <f>C5/$C$9</f>
        <v>0.30769230769230771</v>
      </c>
      <c r="L5">
        <f>D5/$D$9</f>
        <v>0.32</v>
      </c>
      <c r="M5">
        <f>E5/$E$9</f>
        <v>0.14285714285714285</v>
      </c>
      <c r="Q5" t="str">
        <f>Table7[[#This Row],[Atribute/ criteria]]</f>
        <v>Mobile 2</v>
      </c>
      <c r="R5">
        <f>B14/$B$18</f>
        <v>0.19544730160387783</v>
      </c>
      <c r="S5">
        <f>C14/$C$18</f>
        <v>0.19670601413393476</v>
      </c>
    </row>
    <row r="6" spans="1:19" x14ac:dyDescent="0.3">
      <c r="A6" t="str">
        <f>'MAIN SHEET'!A6</f>
        <v>Mobile 3</v>
      </c>
      <c r="B6">
        <f>'MAIN SHEET'!B6</f>
        <v>200</v>
      </c>
      <c r="C6">
        <f>'MAIN SHEET'!C6</f>
        <v>16</v>
      </c>
      <c r="D6">
        <f>'MAIN SHEET'!D6</f>
        <v>20</v>
      </c>
      <c r="E6">
        <f>'MAIN SHEET'!F6</f>
        <v>2</v>
      </c>
      <c r="I6" t="str">
        <f>A6</f>
        <v>Mobile 3</v>
      </c>
      <c r="J6">
        <f>B6/$B$9</f>
        <v>9.3023255813953487E-2</v>
      </c>
      <c r="K6">
        <f>C6/$C$9</f>
        <v>0.15384615384615385</v>
      </c>
      <c r="L6">
        <f>D6/$D$9</f>
        <v>0.16</v>
      </c>
      <c r="M6">
        <f>E6/$E$9</f>
        <v>9.5238095238095233E-2</v>
      </c>
      <c r="Q6" t="str">
        <f>Table7[[#This Row],[Atribute/ criteria]]</f>
        <v>Mobile 3</v>
      </c>
      <c r="R6">
        <f>B15/$B$18</f>
        <v>0.14757539286700624</v>
      </c>
      <c r="S6">
        <f>C15/$C$18</f>
        <v>0.18601422851965341</v>
      </c>
    </row>
    <row r="7" spans="1:19" x14ac:dyDescent="0.3">
      <c r="A7" t="str">
        <f>'MAIN SHEET'!A7</f>
        <v>Mobile 4</v>
      </c>
      <c r="B7">
        <f>'MAIN SHEET'!B7</f>
        <v>1000</v>
      </c>
      <c r="C7">
        <f>'MAIN SHEET'!C7</f>
        <v>8</v>
      </c>
      <c r="D7">
        <f>'MAIN SHEET'!D7</f>
        <v>10</v>
      </c>
      <c r="E7">
        <f>'MAIN SHEET'!F7</f>
        <v>3</v>
      </c>
      <c r="I7" t="str">
        <f>A7</f>
        <v>Mobile 4</v>
      </c>
      <c r="J7">
        <f>B7/$B$9</f>
        <v>0.46511627906976744</v>
      </c>
      <c r="K7">
        <f>C7/$C$9</f>
        <v>7.6923076923076927E-2</v>
      </c>
      <c r="L7">
        <f>D7/$D$9</f>
        <v>0.08</v>
      </c>
      <c r="M7">
        <f>E7/$E$9</f>
        <v>0.14285714285714285</v>
      </c>
      <c r="Q7" t="str">
        <f>Table7[[#This Row],[Atribute/ criteria]]</f>
        <v>Mobile 4</v>
      </c>
      <c r="R7">
        <f>B16/$B$18</f>
        <v>0.28577933066050731</v>
      </c>
      <c r="S7">
        <f>C16/$C$18</f>
        <v>0.21660460554902408</v>
      </c>
    </row>
    <row r="8" spans="1:19" x14ac:dyDescent="0.3">
      <c r="A8" t="str">
        <f>'MAIN SHEET'!A8</f>
        <v>Mobile 5</v>
      </c>
      <c r="B8">
        <f>'MAIN SHEET'!B8</f>
        <v>200</v>
      </c>
      <c r="C8">
        <f>'MAIN SHEET'!C8</f>
        <v>32</v>
      </c>
      <c r="D8">
        <f>'MAIN SHEET'!D8</f>
        <v>35</v>
      </c>
      <c r="E8">
        <f>'MAIN SHEET'!F8</f>
        <v>6</v>
      </c>
      <c r="I8" t="str">
        <f>A8</f>
        <v>Mobile 5</v>
      </c>
      <c r="J8">
        <f>B8/$B$9</f>
        <v>9.3023255813953487E-2</v>
      </c>
      <c r="K8">
        <f>C8/$C$9</f>
        <v>0.30769230769230771</v>
      </c>
      <c r="L8">
        <f>D8/$D$9</f>
        <v>0.28000000000000003</v>
      </c>
      <c r="M8">
        <f>E8/$E$9</f>
        <v>0.2857142857142857</v>
      </c>
      <c r="Q8" t="str">
        <f>Table7[[#This Row],[Atribute/ criteria]]</f>
        <v>Mobile 5</v>
      </c>
      <c r="R8">
        <f>B17/$B$18</f>
        <v>0.20838151680389663</v>
      </c>
      <c r="S8">
        <f>C17/$C$18</f>
        <v>0.20620428584812253</v>
      </c>
    </row>
    <row r="9" spans="1:19" x14ac:dyDescent="0.3">
      <c r="A9" t="s">
        <v>33</v>
      </c>
      <c r="B9">
        <f>SUM(B4:B8)</f>
        <v>2150</v>
      </c>
      <c r="C9">
        <f t="shared" ref="C9:E9" si="0">SUM(C4:C8)</f>
        <v>104</v>
      </c>
      <c r="D9">
        <f t="shared" si="0"/>
        <v>125</v>
      </c>
      <c r="E9">
        <f t="shared" si="0"/>
        <v>21</v>
      </c>
    </row>
    <row r="11" spans="1:19" x14ac:dyDescent="0.3">
      <c r="I11" t="s">
        <v>0</v>
      </c>
      <c r="J11" t="s">
        <v>1</v>
      </c>
      <c r="K11" t="s">
        <v>2</v>
      </c>
      <c r="L11" t="s">
        <v>3</v>
      </c>
      <c r="M11" t="s">
        <v>31</v>
      </c>
      <c r="Q11" s="12" t="s">
        <v>0</v>
      </c>
      <c r="R11" s="13" t="s">
        <v>44</v>
      </c>
      <c r="S11" s="14" t="s">
        <v>49</v>
      </c>
    </row>
    <row r="12" spans="1:19" x14ac:dyDescent="0.3">
      <c r="A12" t="s">
        <v>0</v>
      </c>
      <c r="B12" t="s">
        <v>44</v>
      </c>
      <c r="C12" t="s">
        <v>49</v>
      </c>
      <c r="I12" t="str">
        <f t="shared" ref="I12:I16" si="1">I4</f>
        <v>Mobile 1</v>
      </c>
      <c r="J12">
        <f t="shared" ref="J12:M16" si="2">J4*LN(J4)</f>
        <v>-0.31288531609557702</v>
      </c>
      <c r="K12">
        <f t="shared" si="2"/>
        <v>-0.28796956567716792</v>
      </c>
      <c r="L12">
        <f t="shared" si="2"/>
        <v>-0.29321303419972966</v>
      </c>
      <c r="M12">
        <f t="shared" si="2"/>
        <v>-0.36620409622270322</v>
      </c>
      <c r="Q12" s="15" t="s">
        <v>5</v>
      </c>
      <c r="R12" s="16">
        <f>R4*LN(R4)</f>
        <v>-0.29553332030007012</v>
      </c>
      <c r="S12" s="16">
        <f>S4*LN(S4)</f>
        <v>-0.31844077606105758</v>
      </c>
    </row>
    <row r="13" spans="1:19" x14ac:dyDescent="0.3">
      <c r="A13" t="str">
        <f>A4</f>
        <v>Mobile 1</v>
      </c>
      <c r="B13">
        <f>WSM!M17</f>
        <v>0.50366226481249909</v>
      </c>
      <c r="C13">
        <f>WPM!M17</f>
        <v>3.3897409086749026</v>
      </c>
      <c r="I13" t="str">
        <f t="shared" si="1"/>
        <v>Mobile 2</v>
      </c>
      <c r="J13">
        <f t="shared" si="2"/>
        <v>-0.29551232015041268</v>
      </c>
      <c r="K13">
        <f t="shared" ref="K13:M13" si="3">K5*LN(K5)</f>
        <v>-0.36266307579742962</v>
      </c>
      <c r="L13">
        <f t="shared" si="3"/>
        <v>-0.36461897062027676</v>
      </c>
      <c r="M13">
        <f t="shared" si="3"/>
        <v>-0.27798716415075903</v>
      </c>
      <c r="Q13" s="18" t="s">
        <v>6</v>
      </c>
      <c r="R13" s="16">
        <f>R5*LN(R5)</f>
        <v>-0.31906078010284544</v>
      </c>
      <c r="S13" s="16">
        <f>S5*LN(S5)</f>
        <v>-0.31985282660087916</v>
      </c>
    </row>
    <row r="14" spans="1:19" x14ac:dyDescent="0.3">
      <c r="A14" t="str">
        <f t="shared" ref="A14:A17" si="4">A5</f>
        <v>Mobile 2</v>
      </c>
      <c r="B14">
        <f>WSM!M18</f>
        <v>0.60460368532384812</v>
      </c>
      <c r="C14">
        <f>WPM!M18</f>
        <v>3.4287008485175181</v>
      </c>
      <c r="I14" t="str">
        <f t="shared" si="1"/>
        <v>Mobile 3</v>
      </c>
      <c r="J14">
        <f t="shared" si="2"/>
        <v>-0.22092146554173692</v>
      </c>
      <c r="K14">
        <f t="shared" ref="K14:M14" si="5">K6*LN(K6)</f>
        <v>-0.28796956567716792</v>
      </c>
      <c r="L14">
        <f>L6*LN(L6)</f>
        <v>-0.29321303419972966</v>
      </c>
      <c r="M14">
        <f t="shared" si="5"/>
        <v>-0.22394050068223595</v>
      </c>
      <c r="Q14" s="15" t="s">
        <v>8</v>
      </c>
      <c r="R14" s="16">
        <f>R6*LN(R6)</f>
        <v>-0.2823731320420782</v>
      </c>
      <c r="S14" s="16">
        <f>S6*LN(S6)</f>
        <v>-0.31286330400865731</v>
      </c>
    </row>
    <row r="15" spans="1:19" x14ac:dyDescent="0.3">
      <c r="A15" t="str">
        <f t="shared" si="4"/>
        <v>Mobile 3</v>
      </c>
      <c r="B15">
        <f>WSM!M19</f>
        <v>0.45651500766862685</v>
      </c>
      <c r="C15">
        <f>WPM!M19</f>
        <v>3.242336773330202</v>
      </c>
      <c r="I15" t="str">
        <f t="shared" si="1"/>
        <v>Mobile 4</v>
      </c>
      <c r="J15">
        <f t="shared" si="2"/>
        <v>-0.35603155448352158</v>
      </c>
      <c r="K15">
        <f t="shared" ref="K15:M15" si="6">K7*LN(K7)</f>
        <v>-0.19730379672781054</v>
      </c>
      <c r="L15">
        <f t="shared" si="6"/>
        <v>-0.20205829154466046</v>
      </c>
      <c r="M15">
        <f t="shared" si="6"/>
        <v>-0.27798716415075903</v>
      </c>
      <c r="Q15" s="18" t="s">
        <v>10</v>
      </c>
      <c r="R15" s="16">
        <f>R7*LN(R7)</f>
        <v>-0.35794871026323788</v>
      </c>
      <c r="S15" s="16">
        <f>S7*LN(S7)</f>
        <v>-0.33133609728425778</v>
      </c>
    </row>
    <row r="16" spans="1:19" x14ac:dyDescent="0.3">
      <c r="A16" t="str">
        <f t="shared" si="4"/>
        <v>Mobile 4</v>
      </c>
      <c r="B16">
        <f>WSM!M20</f>
        <v>0.88404002044967167</v>
      </c>
      <c r="C16">
        <f>WPM!M20</f>
        <v>3.7755449324140362</v>
      </c>
      <c r="I16" t="str">
        <f t="shared" si="1"/>
        <v>Mobile 5</v>
      </c>
      <c r="J16">
        <f t="shared" si="2"/>
        <v>-0.22092146554173692</v>
      </c>
      <c r="K16">
        <f t="shared" ref="K16:M16" si="7">K8*LN(K8)</f>
        <v>-0.36266307579742962</v>
      </c>
      <c r="L16">
        <f t="shared" si="7"/>
        <v>-0.3564303892276085</v>
      </c>
      <c r="M16">
        <f t="shared" si="7"/>
        <v>-0.35793227671296229</v>
      </c>
      <c r="Q16" s="15" t="s">
        <v>12</v>
      </c>
      <c r="R16" s="16">
        <f>R8*LN(R8)</f>
        <v>-0.32682237521553748</v>
      </c>
      <c r="S16" s="16">
        <f>S8*LN(S8)</f>
        <v>-0.32557345653598757</v>
      </c>
    </row>
    <row r="17" spans="1:20" x14ac:dyDescent="0.3">
      <c r="A17" t="str">
        <f t="shared" si="4"/>
        <v>Mobile 5</v>
      </c>
      <c r="B17">
        <f>WSM!M21</f>
        <v>0.6446148500343869</v>
      </c>
      <c r="C17">
        <f>WPM!M21</f>
        <v>3.5942612785291352</v>
      </c>
    </row>
    <row r="18" spans="1:20" x14ac:dyDescent="0.3">
      <c r="A18" t="s">
        <v>33</v>
      </c>
      <c r="B18" s="11">
        <f>SUM(Table17[WSM])</f>
        <v>3.0934358282890324</v>
      </c>
      <c r="C18" s="11">
        <f>SUM(Table17[WPM])</f>
        <v>17.430584741465793</v>
      </c>
      <c r="I18" t="s">
        <v>33</v>
      </c>
      <c r="J18">
        <f>SUM(Table71112[Price])</f>
        <v>-1.406272121812985</v>
      </c>
      <c r="K18">
        <f>SUM(Table71112[Storage])</f>
        <v>-1.4985690796770057</v>
      </c>
      <c r="L18">
        <f>SUM(Table71112[Camera])</f>
        <v>-1.5095337197920049</v>
      </c>
      <c r="M18">
        <f>SUM(Table71112[LOOKS])</f>
        <v>-1.5040512019194194</v>
      </c>
      <c r="Q18" t="s">
        <v>33</v>
      </c>
      <c r="R18" s="34">
        <f>SUM(R12:R16)</f>
        <v>-1.5817383179237692</v>
      </c>
      <c r="S18" s="34">
        <f>SUM(S12:S16)</f>
        <v>-1.6080664604908395</v>
      </c>
    </row>
    <row r="19" spans="1:20" x14ac:dyDescent="0.3">
      <c r="I19" t="s">
        <v>36</v>
      </c>
      <c r="J19">
        <f>J18*$H$2</f>
        <v>0.87376599677967759</v>
      </c>
      <c r="K19">
        <f t="shared" ref="K19:M19" si="8">K18*$H$2</f>
        <v>0.93111332105417011</v>
      </c>
      <c r="L19">
        <f t="shared" si="8"/>
        <v>0.93792603500249283</v>
      </c>
      <c r="M19">
        <f t="shared" si="8"/>
        <v>0.93451955511890805</v>
      </c>
      <c r="Q19" t="s">
        <v>36</v>
      </c>
      <c r="R19">
        <f>R18*$H$2</f>
        <v>0.98278927425759566</v>
      </c>
      <c r="S19">
        <f>S18*$H$2</f>
        <v>0.99914786899658237</v>
      </c>
    </row>
    <row r="20" spans="1:20" x14ac:dyDescent="0.3">
      <c r="I20" t="s">
        <v>37</v>
      </c>
      <c r="J20">
        <f>1-J19</f>
        <v>0.12623400322032241</v>
      </c>
      <c r="K20">
        <f t="shared" ref="K20:M20" si="9">1-K19</f>
        <v>6.8886678945829893E-2</v>
      </c>
      <c r="L20">
        <f t="shared" si="9"/>
        <v>6.2073964997507169E-2</v>
      </c>
      <c r="M20">
        <f t="shared" si="9"/>
        <v>6.5480444881091948E-2</v>
      </c>
      <c r="N20">
        <f>SUM(J20:M20)</f>
        <v>0.32267509204475142</v>
      </c>
      <c r="O20" t="s">
        <v>39</v>
      </c>
      <c r="Q20" t="s">
        <v>37</v>
      </c>
      <c r="R20">
        <f>1 -R19</f>
        <v>1.7210725742404342E-2</v>
      </c>
      <c r="S20">
        <f>1 -S19</f>
        <v>8.5213100341763326E-4</v>
      </c>
      <c r="T20">
        <f>SUM(R20:S20)</f>
        <v>1.8062856745821976E-2</v>
      </c>
    </row>
    <row r="21" spans="1:20" x14ac:dyDescent="0.3">
      <c r="I21" s="10" t="s">
        <v>38</v>
      </c>
      <c r="J21" s="1">
        <f>J20/$N$20</f>
        <v>0.39121086917615311</v>
      </c>
      <c r="K21" s="1">
        <f>K20/$N$20</f>
        <v>0.21348619910295424</v>
      </c>
      <c r="L21" s="1">
        <f>L20/$N$20</f>
        <v>0.19237296750781807</v>
      </c>
      <c r="M21" s="1">
        <f>M20/$N$20</f>
        <v>0.20292996421307458</v>
      </c>
      <c r="N21">
        <f>SUM(J21:M21)</f>
        <v>1</v>
      </c>
      <c r="O21" t="s">
        <v>40</v>
      </c>
      <c r="Q21" s="10" t="s">
        <v>53</v>
      </c>
      <c r="R21">
        <f>R20/$T$20</f>
        <v>0.952824128795976</v>
      </c>
      <c r="S21">
        <f>S20/$T$20</f>
        <v>4.7175871204023979E-2</v>
      </c>
    </row>
    <row r="22" spans="1:20" x14ac:dyDescent="0.3">
      <c r="E22">
        <f>1/5</f>
        <v>0.2</v>
      </c>
    </row>
    <row r="23" spans="1:20" x14ac:dyDescent="0.3">
      <c r="E23">
        <f>1/LN(5)</f>
        <v>0.62133493455961186</v>
      </c>
    </row>
  </sheetData>
  <phoneticPr fontId="1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20AEA-9C48-4301-8751-0409A5E3D35A}">
  <dimension ref="A2:N21"/>
  <sheetViews>
    <sheetView workbookViewId="0">
      <selection activeCell="I7" sqref="I7"/>
    </sheetView>
  </sheetViews>
  <sheetFormatPr defaultRowHeight="14.4" x14ac:dyDescent="0.3"/>
  <cols>
    <col min="1" max="1" width="20" bestFit="1" customWidth="1"/>
    <col min="8" max="8" width="17.33203125" bestFit="1" customWidth="1"/>
  </cols>
  <sheetData>
    <row r="2" spans="1:14" x14ac:dyDescent="0.3">
      <c r="A2" t="str">
        <f>'MAIN SHEET'!I2</f>
        <v>CAT</v>
      </c>
      <c r="B2" t="str">
        <f>'MAIN SHEET'!J2</f>
        <v>Price</v>
      </c>
      <c r="C2" t="str">
        <f>'MAIN SHEET'!K2</f>
        <v>Storage</v>
      </c>
      <c r="D2" t="str">
        <f>'MAIN SHEET'!L2</f>
        <v>Camera</v>
      </c>
      <c r="E2" t="str">
        <f>'MAIN SHEET'!M2</f>
        <v>Looks</v>
      </c>
    </row>
    <row r="3" spans="1:14" x14ac:dyDescent="0.3">
      <c r="A3" t="str">
        <f>'MAIN SHEET'!I3</f>
        <v>WT (your weightage)</v>
      </c>
      <c r="B3">
        <f>'MAIN SHEET'!J3</f>
        <v>0.1</v>
      </c>
      <c r="C3">
        <f>'MAIN SHEET'!K3</f>
        <v>0.5</v>
      </c>
      <c r="D3">
        <f>'MAIN SHEET'!L3</f>
        <v>0.3</v>
      </c>
      <c r="E3">
        <f>'MAIN SHEET'!M3</f>
        <v>0.1</v>
      </c>
    </row>
    <row r="4" spans="1:14" x14ac:dyDescent="0.3">
      <c r="A4" t="str">
        <f>'MAIN SHEET'!I4</f>
        <v>WT (system weightage)</v>
      </c>
      <c r="B4" s="1">
        <f>'MAIN SHEET'!J4</f>
        <v>0.39121086917615311</v>
      </c>
      <c r="C4" s="1">
        <f>'MAIN SHEET'!K4</f>
        <v>0.21348619910295424</v>
      </c>
      <c r="D4" s="1">
        <f>'MAIN SHEET'!L4</f>
        <v>0.19237296750781807</v>
      </c>
      <c r="E4" s="1">
        <f>'MAIN SHEET'!M4</f>
        <v>0.20292996421307458</v>
      </c>
      <c r="H4" t="s">
        <v>45</v>
      </c>
    </row>
    <row r="6" spans="1:14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H6" t="s">
        <v>0</v>
      </c>
      <c r="I6" t="s">
        <v>1</v>
      </c>
      <c r="J6" t="s">
        <v>2</v>
      </c>
      <c r="K6" t="s">
        <v>3</v>
      </c>
      <c r="L6" t="s">
        <v>4</v>
      </c>
      <c r="M6" t="s">
        <v>44</v>
      </c>
      <c r="N6" t="s">
        <v>47</v>
      </c>
    </row>
    <row r="7" spans="1:14" x14ac:dyDescent="0.3">
      <c r="A7" s="11" t="str">
        <f>'MAIN SHEET'!A4</f>
        <v>Mobile 1</v>
      </c>
      <c r="B7" s="11">
        <f>'MAIN SHEET'!B4</f>
        <v>400</v>
      </c>
      <c r="C7" s="11">
        <f>'MAIN SHEET'!C4</f>
        <v>16</v>
      </c>
      <c r="D7" s="11">
        <f>'MAIN SHEET'!D4</f>
        <v>20</v>
      </c>
      <c r="E7" s="11">
        <f>'MAIN SHEET'!F4</f>
        <v>7</v>
      </c>
      <c r="F7" s="11"/>
      <c r="H7" s="11" t="str">
        <f>Table57[[#This Row],[Atribute/ criteria]]</f>
        <v>Mobile 1</v>
      </c>
      <c r="I7" s="11">
        <f>IF('MAIN SHEET'!$B$2 = Normalisation!$J$1,VLOOKUP(Table569[[#This Row],[Atribute/ criteria]],Table43536[],2,FALSE),VLOOKUP(Table569[[#This Row],[Atribute/ criteria]],Normalisation!I11:M15,2,FALSE))</f>
        <v>0.25</v>
      </c>
      <c r="J7" s="11">
        <f>IF('MAIN SHEET'!$C$2 = Normalisation!$J$1,VLOOKUP(Table569[[#This Row],[Atribute/ criteria]],Table43536[],3,FALSE),VLOOKUP(Table569[[#This Row],[Atribute/ criteria]],Normalisation!I11:M15,3,FALSE))</f>
        <v>0.5</v>
      </c>
      <c r="K7" s="11">
        <f>IF('MAIN SHEET'!$D$2 = Normalisation!$J$1,VLOOKUP(Table569[[#This Row],[Atribute/ criteria]],Table43536[],4,FALSE),VLOOKUP(Table569[[#This Row],[Atribute/ criteria]],Normalisation!I11:M15,4,FALSE))</f>
        <v>0.5</v>
      </c>
      <c r="L7" s="11">
        <f>IF('MAIN SHEET'!$E$2 = Normalisation!$J$1,VLOOKUP(Table569[[#This Row],[Atribute/ criteria]],Table43536[],5,FALSE),VLOOKUP(Table569[[#This Row],[Atribute/ criteria]],Normalisation!I11:M15,5,FALSE))</f>
        <v>1</v>
      </c>
      <c r="M7" s="11">
        <f>Table569[[#This Row],[Price]]*$B$3+Table569[[#This Row],[Storage]]*$C$3+Table569[[#This Row],[Camera]]*$D$3+Table569[[#This Row],[Looks]]*$E$3</f>
        <v>0.52500000000000002</v>
      </c>
      <c r="N7" s="11">
        <f>RANK(Table569[[#This Row],[WSM]],Table569[WSM],0)</f>
        <v>4</v>
      </c>
    </row>
    <row r="8" spans="1:14" x14ac:dyDescent="0.3">
      <c r="A8" s="11" t="str">
        <f>'MAIN SHEET'!A5</f>
        <v>Mobile 2</v>
      </c>
      <c r="B8" s="11">
        <f>'MAIN SHEET'!B5</f>
        <v>350</v>
      </c>
      <c r="C8" s="11">
        <f>'MAIN SHEET'!C5</f>
        <v>32</v>
      </c>
      <c r="D8" s="11">
        <f>'MAIN SHEET'!D5</f>
        <v>40</v>
      </c>
      <c r="E8" s="11">
        <f>'MAIN SHEET'!F5</f>
        <v>3</v>
      </c>
      <c r="F8" s="11"/>
      <c r="H8" s="11" t="str">
        <f>Table57[[#This Row],[Atribute/ criteria]]</f>
        <v>Mobile 2</v>
      </c>
      <c r="I8" s="11">
        <f>IF('MAIN SHEET'!$B$2 = Normalisation!$J$1,VLOOKUP(Table569[[#This Row],[Atribute/ criteria]],Table43536[],2,FALSE),VLOOKUP(Table569[[#This Row],[Atribute/ criteria]],Normalisation!I12:M16,2,FALSE))</f>
        <v>0.2857142857142857</v>
      </c>
      <c r="J8" s="11">
        <f>IF('MAIN SHEET'!$C$2 = Normalisation!$J$1,VLOOKUP(Table569[[#This Row],[Atribute/ criteria]],Table43536[],3,FALSE),VLOOKUP(Table569[[#This Row],[Atribute/ criteria]],Normalisation!I12:M16,3,FALSE))</f>
        <v>1</v>
      </c>
      <c r="K8" s="11">
        <f>IF('MAIN SHEET'!$D$2 = Normalisation!$J$1,VLOOKUP(Table569[[#This Row],[Atribute/ criteria]],Table43536[],4,FALSE),VLOOKUP(Table569[[#This Row],[Atribute/ criteria]],Normalisation!I12:M16,4,FALSE))</f>
        <v>1</v>
      </c>
      <c r="L8" s="11">
        <f>IF('MAIN SHEET'!$E$2 = Normalisation!$J$1,VLOOKUP(Table569[[#This Row],[Atribute/ criteria]],Table43536[],5,FALSE),VLOOKUP(Table569[[#This Row],[Atribute/ criteria]],Normalisation!I12:M16,5,FALSE))</f>
        <v>0.42857142857142855</v>
      </c>
      <c r="M8" s="11">
        <f>Table569[[#This Row],[Price]]*$B$3+Table569[[#This Row],[Storage]]*$C$3+Table569[[#This Row],[Camera]]*$D$3+Table569[[#This Row],[Looks]]*$E$3</f>
        <v>0.87142857142857133</v>
      </c>
      <c r="N8" s="11">
        <f>RANK(Table569[[#This Row],[WSM]],Table569[WSM],0)</f>
        <v>2</v>
      </c>
    </row>
    <row r="9" spans="1:14" x14ac:dyDescent="0.3">
      <c r="A9" s="11" t="str">
        <f>'MAIN SHEET'!A6</f>
        <v>Mobile 3</v>
      </c>
      <c r="B9" s="11">
        <f>'MAIN SHEET'!B6</f>
        <v>200</v>
      </c>
      <c r="C9" s="11">
        <f>'MAIN SHEET'!C6</f>
        <v>16</v>
      </c>
      <c r="D9" s="11">
        <f>'MAIN SHEET'!D6</f>
        <v>20</v>
      </c>
      <c r="E9" s="11">
        <f>'MAIN SHEET'!F6</f>
        <v>2</v>
      </c>
      <c r="F9" s="11"/>
      <c r="H9" s="11" t="str">
        <f>Table57[[#This Row],[Atribute/ criteria]]</f>
        <v>Mobile 3</v>
      </c>
      <c r="I9" s="11">
        <f>IF('MAIN SHEET'!$B$2 = Normalisation!$J$1,VLOOKUP(Table569[[#This Row],[Atribute/ criteria]],Table43536[],2,FALSE),VLOOKUP(Table569[[#This Row],[Atribute/ criteria]],Normalisation!I13:M17,2,FALSE))</f>
        <v>0.5</v>
      </c>
      <c r="J9" s="11">
        <f>IF('MAIN SHEET'!$C$2 = Normalisation!$J$1,VLOOKUP(Table569[[#This Row],[Atribute/ criteria]],Table43536[],3,FALSE),VLOOKUP(Table569[[#This Row],[Atribute/ criteria]],Normalisation!I13:M17,3,FALSE))</f>
        <v>0.5</v>
      </c>
      <c r="K9" s="11">
        <f>IF('MAIN SHEET'!$D$2 = Normalisation!$J$1,VLOOKUP(Table569[[#This Row],[Atribute/ criteria]],Table43536[],4,FALSE),VLOOKUP(Table569[[#This Row],[Atribute/ criteria]],Normalisation!I13:M17,4,FALSE))</f>
        <v>0.5</v>
      </c>
      <c r="L9" s="11">
        <f>IF('MAIN SHEET'!$E$2 = Normalisation!$J$1,VLOOKUP(Table569[[#This Row],[Atribute/ criteria]],Table43536[],5,FALSE),VLOOKUP(Table569[[#This Row],[Atribute/ criteria]],Normalisation!I13:M17,5,FALSE))</f>
        <v>0.2857142857142857</v>
      </c>
      <c r="M9" s="11">
        <f>Table569[[#This Row],[Price]]*$B$3+Table569[[#This Row],[Storage]]*$C$3+Table569[[#This Row],[Camera]]*$D$3+Table569[[#This Row],[Looks]]*$E$3</f>
        <v>0.47857142857142854</v>
      </c>
      <c r="N9" s="11">
        <f>RANK(Table569[[#This Row],[WSM]],Table569[WSM],0)</f>
        <v>5</v>
      </c>
    </row>
    <row r="10" spans="1:14" x14ac:dyDescent="0.3">
      <c r="A10" s="11" t="str">
        <f>'MAIN SHEET'!A7</f>
        <v>Mobile 4</v>
      </c>
      <c r="B10" s="11">
        <f>'MAIN SHEET'!B7</f>
        <v>1000</v>
      </c>
      <c r="C10" s="11">
        <f>'MAIN SHEET'!C7</f>
        <v>8</v>
      </c>
      <c r="D10" s="11">
        <f>'MAIN SHEET'!D7</f>
        <v>10</v>
      </c>
      <c r="E10" s="11">
        <f>'MAIN SHEET'!F7</f>
        <v>3</v>
      </c>
      <c r="F10" s="11"/>
      <c r="H10" s="11" t="str">
        <f>Table57[[#This Row],[Atribute/ criteria]]</f>
        <v>Mobile 4</v>
      </c>
      <c r="I10" s="11">
        <f>IF('MAIN SHEET'!$B$2 = Normalisation!$J$1,VLOOKUP(Table569[[#This Row],[Atribute/ criteria]],Table43536[],2,FALSE),VLOOKUP(Table569[[#This Row],[Atribute/ criteria]],Normalisation!I14:M18,2,FALSE))</f>
        <v>1</v>
      </c>
      <c r="J10" s="11">
        <f>IF('MAIN SHEET'!$C$2 = Normalisation!$J$1,VLOOKUP(Table569[[#This Row],[Atribute/ criteria]],Table43536[],3,FALSE),VLOOKUP(Table569[[#This Row],[Atribute/ criteria]],Normalisation!I14:M18,3,FALSE))</f>
        <v>1</v>
      </c>
      <c r="K10" s="11">
        <f>IF('MAIN SHEET'!$D$2 = Normalisation!$J$1,VLOOKUP(Table569[[#This Row],[Atribute/ criteria]],Table43536[],4,FALSE),VLOOKUP(Table569[[#This Row],[Atribute/ criteria]],Normalisation!I14:M18,4,FALSE))</f>
        <v>1</v>
      </c>
      <c r="L10" s="11">
        <f>IF('MAIN SHEET'!$E$2 = Normalisation!$J$1,VLOOKUP(Table569[[#This Row],[Atribute/ criteria]],Table43536[],5,FALSE),VLOOKUP(Table569[[#This Row],[Atribute/ criteria]],Normalisation!I14:M18,5,FALSE))</f>
        <v>0.42857142857142855</v>
      </c>
      <c r="M10" s="11">
        <f>Table569[[#This Row],[Price]]*$B$3+Table569[[#This Row],[Storage]]*$C$3+Table569[[#This Row],[Camera]]*$D$3+Table569[[#This Row],[Looks]]*$E$3</f>
        <v>0.94285714285714273</v>
      </c>
      <c r="N10" s="11">
        <f>RANK(Table569[[#This Row],[WSM]],Table569[WSM],0)</f>
        <v>1</v>
      </c>
    </row>
    <row r="11" spans="1:14" x14ac:dyDescent="0.3">
      <c r="A11" s="11" t="str">
        <f>'MAIN SHEET'!A8</f>
        <v>Mobile 5</v>
      </c>
      <c r="B11" s="11">
        <f>'MAIN SHEET'!B8</f>
        <v>200</v>
      </c>
      <c r="C11" s="11">
        <f>'MAIN SHEET'!C8</f>
        <v>32</v>
      </c>
      <c r="D11" s="11">
        <f>'MAIN SHEET'!D8</f>
        <v>35</v>
      </c>
      <c r="E11" s="11">
        <f>'MAIN SHEET'!F8</f>
        <v>6</v>
      </c>
      <c r="F11" s="11"/>
      <c r="G11" s="11"/>
      <c r="H11" s="11" t="str">
        <f>Table57[[#This Row],[Atribute/ criteria]]</f>
        <v>Mobile 5</v>
      </c>
      <c r="I11" s="11">
        <f>IF('MAIN SHEET'!$B$2 = Normalisation!$J$1,VLOOKUP(Table569[[#This Row],[Atribute/ criteria]],Table43536[],2,FALSE),VLOOKUP(Table569[[#This Row],[Atribute/ criteria]],Normalisation!I15:M19,2,FALSE))</f>
        <v>0.5</v>
      </c>
      <c r="J11" s="11">
        <f>IF('MAIN SHEET'!$C$2 = Normalisation!$J$1,VLOOKUP(Table569[[#This Row],[Atribute/ criteria]],Table43536[],3,FALSE),VLOOKUP(Table569[[#This Row],[Atribute/ criteria]],Normalisation!I15:M19,3,FALSE))</f>
        <v>0.5</v>
      </c>
      <c r="K11" s="11">
        <f>IF('MAIN SHEET'!$D$2 = Normalisation!$J$1,VLOOKUP(Table569[[#This Row],[Atribute/ criteria]],Table43536[],4,FALSE),VLOOKUP(Table569[[#This Row],[Atribute/ criteria]],Normalisation!I15:M19,4,FALSE))</f>
        <v>0.875</v>
      </c>
      <c r="L11" s="11">
        <f>IF('MAIN SHEET'!$E$2 = Normalisation!$J$1,VLOOKUP(Table569[[#This Row],[Atribute/ criteria]],Table43536[],5,FALSE),VLOOKUP(Table569[[#This Row],[Atribute/ criteria]],Normalisation!I15:M19,5,FALSE))</f>
        <v>0.8571428571428571</v>
      </c>
      <c r="M11" s="11">
        <f>Table569[[#This Row],[Price]]*$B$3+Table569[[#This Row],[Storage]]*$C$3+Table569[[#This Row],[Camera]]*$D$3+Table569[[#This Row],[Looks]]*$E$3</f>
        <v>0.64821428571428574</v>
      </c>
      <c r="N11" s="11">
        <f>RANK(Table569[[#This Row],[WSM]],Table569[WSM],0)</f>
        <v>3</v>
      </c>
    </row>
    <row r="12" spans="1:14" x14ac:dyDescent="0.3">
      <c r="A12" s="11" t="s">
        <v>14</v>
      </c>
      <c r="B12" s="11">
        <f>MAX(Table57[Price])</f>
        <v>1000</v>
      </c>
      <c r="C12" s="11">
        <f>MAX(Table57[Storage])</f>
        <v>32</v>
      </c>
      <c r="D12" s="11">
        <f>MAX(Table57[Camera])</f>
        <v>40</v>
      </c>
      <c r="E12" s="11">
        <f>MAX(Table57[Looks])</f>
        <v>7</v>
      </c>
    </row>
    <row r="13" spans="1:14" x14ac:dyDescent="0.3">
      <c r="A13" t="s">
        <v>43</v>
      </c>
      <c r="B13">
        <f>MIN(Table57[Price])</f>
        <v>200</v>
      </c>
      <c r="C13">
        <f>MIN(Table57[Storage])</f>
        <v>8</v>
      </c>
      <c r="D13">
        <f>MIN(Table57[Camera])</f>
        <v>10</v>
      </c>
      <c r="E13">
        <f>MIN(Table57[Looks])</f>
        <v>2</v>
      </c>
    </row>
    <row r="14" spans="1:14" x14ac:dyDescent="0.3">
      <c r="H14" t="s">
        <v>46</v>
      </c>
    </row>
    <row r="16" spans="1:14" x14ac:dyDescent="0.3">
      <c r="H16" t="s">
        <v>0</v>
      </c>
      <c r="I16" t="s">
        <v>1</v>
      </c>
      <c r="J16" t="s">
        <v>2</v>
      </c>
      <c r="K16" t="s">
        <v>3</v>
      </c>
      <c r="L16" t="s">
        <v>4</v>
      </c>
      <c r="M16" t="s">
        <v>44</v>
      </c>
      <c r="N16" t="s">
        <v>47</v>
      </c>
    </row>
    <row r="17" spans="8:14" x14ac:dyDescent="0.3">
      <c r="H17" s="11" t="str">
        <f t="shared" ref="H17:M21" si="0">H7</f>
        <v>Mobile 1</v>
      </c>
      <c r="I17" s="11">
        <f t="shared" si="0"/>
        <v>0.25</v>
      </c>
      <c r="J17" s="11">
        <f t="shared" si="0"/>
        <v>0.5</v>
      </c>
      <c r="K17" s="11">
        <f t="shared" si="0"/>
        <v>0.5</v>
      </c>
      <c r="L17" s="11">
        <f t="shared" si="0"/>
        <v>1</v>
      </c>
      <c r="M17" s="11">
        <f>Table56910[[#This Row],[Price]]*$B$4+Table56910[[#This Row],[Storage]]*$C$4+Table56910[[#This Row],[Camera]]*$D$4+Table56910[[#This Row],[Looks]]*$E$4</f>
        <v>0.50366226481249909</v>
      </c>
      <c r="N17" s="11">
        <f>RANK(Table56910[[#This Row],[WSM]],Table56910[WSM],0)</f>
        <v>4</v>
      </c>
    </row>
    <row r="18" spans="8:14" x14ac:dyDescent="0.3">
      <c r="H18" s="11" t="str">
        <f t="shared" ref="H18:L18" si="1">H8</f>
        <v>Mobile 2</v>
      </c>
      <c r="I18" s="11">
        <f t="shared" si="1"/>
        <v>0.2857142857142857</v>
      </c>
      <c r="J18" s="11">
        <f t="shared" si="1"/>
        <v>1</v>
      </c>
      <c r="K18" s="11">
        <f t="shared" si="1"/>
        <v>1</v>
      </c>
      <c r="L18" s="11">
        <f t="shared" si="1"/>
        <v>0.42857142857142855</v>
      </c>
      <c r="M18" s="11">
        <f>Table56910[[#This Row],[Price]]*$B$4+Table56910[[#This Row],[Storage]]*$C$4+Table56910[[#This Row],[Camera]]*$D$4+Table56910[[#This Row],[Looks]]*$E$4</f>
        <v>0.60460368532384812</v>
      </c>
      <c r="N18" s="11">
        <f>RANK(Table56910[[#This Row],[WSM]],Table56910[WSM],0)</f>
        <v>3</v>
      </c>
    </row>
    <row r="19" spans="8:14" x14ac:dyDescent="0.3">
      <c r="H19" s="11" t="str">
        <f t="shared" ref="H19:L19" si="2">H9</f>
        <v>Mobile 3</v>
      </c>
      <c r="I19" s="11">
        <f t="shared" si="2"/>
        <v>0.5</v>
      </c>
      <c r="J19" s="11">
        <f t="shared" si="2"/>
        <v>0.5</v>
      </c>
      <c r="K19" s="11">
        <f t="shared" si="2"/>
        <v>0.5</v>
      </c>
      <c r="L19" s="11">
        <f t="shared" si="2"/>
        <v>0.2857142857142857</v>
      </c>
      <c r="M19" s="11">
        <f>Table56910[[#This Row],[Price]]*$B$4+Table56910[[#This Row],[Storage]]*$C$4+Table56910[[#This Row],[Camera]]*$D$4+Table56910[[#This Row],[Looks]]*$E$4</f>
        <v>0.45651500766862685</v>
      </c>
      <c r="N19" s="11">
        <f>RANK(Table56910[[#This Row],[WSM]],Table56910[WSM],0)</f>
        <v>5</v>
      </c>
    </row>
    <row r="20" spans="8:14" x14ac:dyDescent="0.3">
      <c r="H20" s="11" t="str">
        <f t="shared" ref="H20:L20" si="3">H10</f>
        <v>Mobile 4</v>
      </c>
      <c r="I20" s="11">
        <f t="shared" si="3"/>
        <v>1</v>
      </c>
      <c r="J20" s="11">
        <f t="shared" si="3"/>
        <v>1</v>
      </c>
      <c r="K20" s="11">
        <f t="shared" si="3"/>
        <v>1</v>
      </c>
      <c r="L20" s="11">
        <f t="shared" si="3"/>
        <v>0.42857142857142855</v>
      </c>
      <c r="M20" s="11">
        <f>Table56910[[#This Row],[Price]]*$B$4+Table56910[[#This Row],[Storage]]*$C$4+Table56910[[#This Row],[Camera]]*$D$4+Table56910[[#This Row],[Looks]]*$E$4</f>
        <v>0.88404002044967167</v>
      </c>
      <c r="N20" s="11">
        <f>RANK(Table56910[[#This Row],[WSM]],Table56910[WSM],0)</f>
        <v>1</v>
      </c>
    </row>
    <row r="21" spans="8:14" x14ac:dyDescent="0.3">
      <c r="H21" s="11" t="str">
        <f t="shared" ref="H21:L21" si="4">H11</f>
        <v>Mobile 5</v>
      </c>
      <c r="I21" s="11">
        <f t="shared" si="4"/>
        <v>0.5</v>
      </c>
      <c r="J21" s="11">
        <f t="shared" si="4"/>
        <v>0.5</v>
      </c>
      <c r="K21" s="11">
        <f t="shared" si="4"/>
        <v>0.875</v>
      </c>
      <c r="L21" s="11">
        <f t="shared" si="4"/>
        <v>0.8571428571428571</v>
      </c>
      <c r="M21" s="11">
        <f>Table56910[[#This Row],[Price]]*$B$4+Table56910[[#This Row],[Storage]]*$C$4+Table56910[[#This Row],[Camera]]*$D$4+Table56910[[#This Row],[Looks]]*$E$4</f>
        <v>0.6446148500343869</v>
      </c>
      <c r="N21" s="11">
        <f>RANK(Table56910[[#This Row],[WSM]],Table56910[WSM],0)</f>
        <v>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CAB0-F19B-4E8E-AA84-AAC5980CD31C}">
  <dimension ref="A1:N21"/>
  <sheetViews>
    <sheetView tabSelected="1" workbookViewId="0">
      <selection activeCell="I7" sqref="I7"/>
    </sheetView>
  </sheetViews>
  <sheetFormatPr defaultRowHeight="14.4" x14ac:dyDescent="0.3"/>
  <cols>
    <col min="1" max="1" width="20" bestFit="1" customWidth="1"/>
    <col min="3" max="4" width="9.33203125" customWidth="1"/>
    <col min="8" max="8" width="16.88671875" customWidth="1"/>
    <col min="10" max="11" width="9.33203125" customWidth="1"/>
    <col min="13" max="13" width="15.6640625" bestFit="1" customWidth="1"/>
  </cols>
  <sheetData>
    <row r="1" spans="1:14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4" x14ac:dyDescent="0.3">
      <c r="A2" s="21" t="s">
        <v>16</v>
      </c>
      <c r="B2" s="21" t="s">
        <v>1</v>
      </c>
      <c r="C2" s="21" t="s">
        <v>2</v>
      </c>
      <c r="D2" s="21" t="s">
        <v>3</v>
      </c>
      <c r="E2" s="21" t="s">
        <v>4</v>
      </c>
      <c r="F2" s="21"/>
      <c r="G2" s="21"/>
      <c r="H2" s="21"/>
      <c r="I2" s="21"/>
      <c r="J2" s="21"/>
      <c r="K2" s="21"/>
      <c r="L2" s="21"/>
    </row>
    <row r="3" spans="1:14" x14ac:dyDescent="0.3">
      <c r="A3" s="21" t="s">
        <v>42</v>
      </c>
      <c r="B3" s="21">
        <v>0.1</v>
      </c>
      <c r="C3" s="21">
        <v>0.5</v>
      </c>
      <c r="D3" s="21">
        <v>0.3</v>
      </c>
      <c r="E3" s="21">
        <v>0.1</v>
      </c>
      <c r="F3" s="21"/>
      <c r="G3" s="21"/>
      <c r="H3" s="21"/>
      <c r="I3" s="21"/>
      <c r="J3" s="21"/>
      <c r="K3" s="21"/>
      <c r="L3" s="21"/>
    </row>
    <row r="4" spans="1:14" x14ac:dyDescent="0.3">
      <c r="A4" s="21" t="s">
        <v>41</v>
      </c>
      <c r="B4" s="22">
        <v>0.34</v>
      </c>
      <c r="C4" s="22">
        <v>0.2</v>
      </c>
      <c r="D4" s="22">
        <v>0.16</v>
      </c>
      <c r="E4" s="22">
        <v>0.3</v>
      </c>
      <c r="F4" s="21"/>
      <c r="G4" s="21"/>
      <c r="H4" s="21" t="s">
        <v>48</v>
      </c>
      <c r="I4" s="21"/>
      <c r="J4" s="21"/>
      <c r="K4" s="21"/>
      <c r="L4" s="21"/>
    </row>
    <row r="5" spans="1:14" x14ac:dyDescent="0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1:14" x14ac:dyDescent="0.3">
      <c r="A6" s="24" t="s">
        <v>0</v>
      </c>
      <c r="B6" s="24" t="s">
        <v>1</v>
      </c>
      <c r="C6" s="24" t="s">
        <v>2</v>
      </c>
      <c r="D6" s="24" t="s">
        <v>3</v>
      </c>
      <c r="E6" s="24" t="s">
        <v>4</v>
      </c>
      <c r="F6" s="21"/>
      <c r="G6" s="21"/>
      <c r="H6" s="24" t="s">
        <v>0</v>
      </c>
      <c r="I6" s="24" t="s">
        <v>1</v>
      </c>
      <c r="J6" s="24" t="s">
        <v>2</v>
      </c>
      <c r="K6" s="24" t="s">
        <v>3</v>
      </c>
      <c r="L6" s="26" t="s">
        <v>4</v>
      </c>
      <c r="M6" s="27" t="s">
        <v>49</v>
      </c>
      <c r="N6" s="27" t="s">
        <v>51</v>
      </c>
    </row>
    <row r="7" spans="1:14" x14ac:dyDescent="0.3">
      <c r="A7" s="16" t="s">
        <v>5</v>
      </c>
      <c r="B7" s="16">
        <v>400</v>
      </c>
      <c r="C7" s="16">
        <v>16</v>
      </c>
      <c r="D7" s="16">
        <v>20</v>
      </c>
      <c r="E7" s="16">
        <v>7</v>
      </c>
      <c r="F7" s="21"/>
      <c r="G7" s="21"/>
      <c r="H7" s="16" t="s">
        <v>5</v>
      </c>
      <c r="I7" s="16">
        <f>IF('MAIN SHEET'!$B$2=Normalisation!$J$1,VLOOKUP(Table15[[#This Row],[Atribute/ criteria]],Table43536[#All],2,FALSE),VLOOKUP(Table15[[#This Row],[Atribute/ criteria]],Normalisation!I11:M15,2,FALSE))</f>
        <v>0.25</v>
      </c>
      <c r="J7" s="16">
        <f>IF('MAIN SHEET'!$C$2=Normalisation!$J$1,VLOOKUP(Table15[[#This Row],[Atribute/ criteria]],Table43536[#All],3,FALSE),VLOOKUP(Table15[[#This Row],[Atribute/ criteria]],Normalisation!I11:M15,3,FALSE))</f>
        <v>0.5</v>
      </c>
      <c r="K7" s="16">
        <f>IF('MAIN SHEET'!$D$2=Normalisation!$J$1,VLOOKUP(Table15[[#This Row],[Atribute/ criteria]],Table43536[#All],4,FALSE),VLOOKUP(Table15[[#This Row],[Atribute/ criteria]],Normalisation!I11:M15,4,FALSE))</f>
        <v>0.5</v>
      </c>
      <c r="L7" s="16">
        <f>IF('MAIN SHEET'!$E$2=Normalisation!$J$1,VLOOKUP(Table15[[#This Row],[Atribute/ criteria]],Table43536[#All],5,FALSE),VLOOKUP(Table15[[#This Row],[Atribute/ criteria]],Normalisation!I11:M15,5,FALSE))</f>
        <v>1</v>
      </c>
      <c r="M7" s="15">
        <f>I7^$B$3+J7^$C$3+K7^$D$3+L7^$E$3</f>
        <v>3.3899097408389069</v>
      </c>
      <c r="N7" s="15">
        <f>RANK(Table15[[#This Row],[WPM]],Table15[WPM],0)</f>
        <v>4</v>
      </c>
    </row>
    <row r="8" spans="1:14" x14ac:dyDescent="0.3">
      <c r="A8" s="19" t="s">
        <v>6</v>
      </c>
      <c r="B8" s="19">
        <v>350</v>
      </c>
      <c r="C8" s="19">
        <v>32</v>
      </c>
      <c r="D8" s="19">
        <v>40</v>
      </c>
      <c r="E8" s="19">
        <v>3</v>
      </c>
      <c r="F8" s="21"/>
      <c r="G8" s="21"/>
      <c r="H8" s="19" t="s">
        <v>6</v>
      </c>
      <c r="I8" s="16">
        <f>IF('MAIN SHEET'!$B$2=Normalisation!$J$1,VLOOKUP(Table15[[#This Row],[Atribute/ criteria]],Table43536[#All],2,FALSE),VLOOKUP(Table15[[#This Row],[Atribute/ criteria]],Normalisation!I12:M16,2,FALSE))</f>
        <v>0.2857142857142857</v>
      </c>
      <c r="J8" s="19">
        <f>IF('MAIN SHEET'!$C$2=Normalisation!$J$1,VLOOKUP(Table15[[#This Row],[Atribute/ criteria]],Table43536[#All],3,FALSE),VLOOKUP(Table15[[#This Row],[Atribute/ criteria]],Normalisation!I12:M16,3,FALSE))</f>
        <v>1</v>
      </c>
      <c r="K8" s="19">
        <f>IF('MAIN SHEET'!$D$2=Normalisation!$J$1,VLOOKUP(Table15[[#This Row],[Atribute/ criteria]],Table43536[#All],4,FALSE),VLOOKUP(Table15[[#This Row],[Atribute/ criteria]],Normalisation!I12:M16,4,FALSE))</f>
        <v>1</v>
      </c>
      <c r="L8" s="20">
        <f>IF('MAIN SHEET'!$E$2=Normalisation!$J$1,VLOOKUP(Table15[[#This Row],[Atribute/ criteria]],Table43536[#All],5,FALSE),VLOOKUP(Table15[[#This Row],[Atribute/ criteria]],Normalisation!I12:M16,5,FALSE))</f>
        <v>0.42857142857142855</v>
      </c>
      <c r="M8" s="15">
        <f t="shared" ref="M8:N11" si="0">I8^$B$3+J8^$C$3+K8^$D$3+L8^$E$3</f>
        <v>3.8010136179326537</v>
      </c>
      <c r="N8" s="15">
        <f>RANK(Table15[[#This Row],[WPM]],Table15[WPM],0)</f>
        <v>2</v>
      </c>
    </row>
    <row r="9" spans="1:14" x14ac:dyDescent="0.3">
      <c r="A9" s="16" t="s">
        <v>8</v>
      </c>
      <c r="B9" s="16">
        <v>200</v>
      </c>
      <c r="C9" s="16">
        <v>16</v>
      </c>
      <c r="D9" s="16">
        <v>20</v>
      </c>
      <c r="E9" s="16">
        <v>2</v>
      </c>
      <c r="F9" s="21"/>
      <c r="G9" s="21"/>
      <c r="H9" s="16" t="s">
        <v>8</v>
      </c>
      <c r="I9" s="16">
        <f>IF('MAIN SHEET'!$B$2=Normalisation!$J$1,VLOOKUP(Table15[[#This Row],[Atribute/ criteria]],Table43536[#All],2,FALSE),VLOOKUP(Table15[[#This Row],[Atribute/ criteria]],Normalisation!I13:M17,2,FALSE))</f>
        <v>0.5</v>
      </c>
      <c r="J9" s="16">
        <f>IF('MAIN SHEET'!$C$2=Normalisation!$J$1,VLOOKUP(Table15[[#This Row],[Atribute/ criteria]],Table43536[#All],3,FALSE),VLOOKUP(Table15[[#This Row],[Atribute/ criteria]],Normalisation!I13:M17,3,FALSE))</f>
        <v>0.5</v>
      </c>
      <c r="K9" s="16">
        <f>IF('MAIN SHEET'!$D$2=Normalisation!$J$1,VLOOKUP(Table15[[#This Row],[Atribute/ criteria]],Table43536[#All],4,FALSE),VLOOKUP(Table15[[#This Row],[Atribute/ criteria]],Normalisation!I13:M17,4,FALSE))</f>
        <v>0.5</v>
      </c>
      <c r="L9" s="17">
        <f>IF('MAIN SHEET'!$E$2=Normalisation!$J$1,VLOOKUP(Table15[[#This Row],[Atribute/ criteria]],Table43536[#All],5,FALSE),VLOOKUP(Table15[[#This Row],[Atribute/ criteria]],Normalisation!I13:M17,5,FALSE))</f>
        <v>0.2857142857142857</v>
      </c>
      <c r="M9" s="15">
        <f t="shared" si="0"/>
        <v>3.334645274232058</v>
      </c>
      <c r="N9" s="15">
        <f>RANK(Table15[[#This Row],[WPM]],Table15[WPM],0)</f>
        <v>5</v>
      </c>
    </row>
    <row r="10" spans="1:14" x14ac:dyDescent="0.3">
      <c r="A10" s="19" t="s">
        <v>10</v>
      </c>
      <c r="B10" s="19">
        <v>100</v>
      </c>
      <c r="C10" s="19">
        <v>32</v>
      </c>
      <c r="D10" s="19">
        <v>40</v>
      </c>
      <c r="E10" s="19">
        <v>5</v>
      </c>
      <c r="F10" s="21"/>
      <c r="G10" s="21"/>
      <c r="H10" s="19" t="s">
        <v>10</v>
      </c>
      <c r="I10" s="16">
        <f>IF('MAIN SHEET'!$B$2=Normalisation!$J$1,VLOOKUP(Table15[[#This Row],[Atribute/ criteria]],Table43536[#All],2,FALSE),VLOOKUP(Table15[[#This Row],[Atribute/ criteria]],Normalisation!I14:M18,2,FALSE))</f>
        <v>1</v>
      </c>
      <c r="J10" s="19">
        <f>IF('MAIN SHEET'!$C$2=Normalisation!$J$1,VLOOKUP(Table15[[#This Row],[Atribute/ criteria]],Table43536[#All],3,FALSE),VLOOKUP(Table15[[#This Row],[Atribute/ criteria]],Normalisation!I14:M18,3,FALSE))</f>
        <v>1</v>
      </c>
      <c r="K10" s="19">
        <f>IF('MAIN SHEET'!$D$2=Normalisation!$J$1,VLOOKUP(Table15[[#This Row],[Atribute/ criteria]],Table43536[#All],4,FALSE),VLOOKUP(Table15[[#This Row],[Atribute/ criteria]],Normalisation!I14:M18,4,FALSE))</f>
        <v>1</v>
      </c>
      <c r="L10" s="20">
        <f>IF('MAIN SHEET'!$E$2=Normalisation!$J$1,VLOOKUP(Table15[[#This Row],[Atribute/ criteria]],Table43536[#All],5,FALSE),VLOOKUP(Table15[[#This Row],[Atribute/ criteria]],Normalisation!I14:M18,5,FALSE))</f>
        <v>0.42857142857142855</v>
      </c>
      <c r="M10" s="15">
        <f t="shared" si="0"/>
        <v>3.9187605127801861</v>
      </c>
      <c r="N10" s="15">
        <f>RANK(Table15[[#This Row],[WPM]],Table15[WPM],0)</f>
        <v>1</v>
      </c>
    </row>
    <row r="11" spans="1:14" x14ac:dyDescent="0.3">
      <c r="A11" s="25" t="s">
        <v>12</v>
      </c>
      <c r="B11" s="25">
        <v>200</v>
      </c>
      <c r="C11" s="25">
        <v>16</v>
      </c>
      <c r="D11" s="25">
        <v>35</v>
      </c>
      <c r="E11" s="25">
        <v>6</v>
      </c>
      <c r="F11" s="21"/>
      <c r="G11" s="21"/>
      <c r="H11" s="25" t="s">
        <v>12</v>
      </c>
      <c r="I11" s="16">
        <f>IF('MAIN SHEET'!$B$2=Normalisation!$J$1,VLOOKUP(Table15[[#This Row],[Atribute/ criteria]],Table43536[#All],2,FALSE),VLOOKUP(Table15[[#This Row],[Atribute/ criteria]],Normalisation!I15:M19,2,FALSE))</f>
        <v>0.5</v>
      </c>
      <c r="J11" s="25">
        <f>IF('MAIN SHEET'!$C$2=Normalisation!$J$1,VLOOKUP(Table15[[#This Row],[Atribute/ criteria]],Table43536[#All],3,FALSE),VLOOKUP(Table15[[#This Row],[Atribute/ criteria]],Normalisation!I15:M19,3,FALSE))</f>
        <v>0.5</v>
      </c>
      <c r="K11" s="25">
        <f>IF('MAIN SHEET'!$D$2=Normalisation!$J$1,VLOOKUP(Table15[[#This Row],[Atribute/ criteria]],Table43536[#All],4,FALSE),VLOOKUP(Table15[[#This Row],[Atribute/ criteria]],Normalisation!I15:M19,4,FALSE))</f>
        <v>0.875</v>
      </c>
      <c r="L11" s="28">
        <f>IF('MAIN SHEET'!$E$2=Normalisation!$J$1,VLOOKUP(Table15[[#This Row],[Atribute/ criteria]],Table43536[#All],5,FALSE),VLOOKUP(Table15[[#This Row],[Atribute/ criteria]],Normalisation!I15:M19,5,FALSE))</f>
        <v>0.8571428571428571</v>
      </c>
      <c r="M11" s="29">
        <f t="shared" si="0"/>
        <v>3.5855752616131156</v>
      </c>
      <c r="N11" s="29">
        <f>RANK(Table15[[#This Row],[WPM]],Table15[WPM],0)</f>
        <v>3</v>
      </c>
    </row>
    <row r="12" spans="1:14" x14ac:dyDescent="0.3">
      <c r="A12" s="21" t="s">
        <v>14</v>
      </c>
      <c r="B12" s="21">
        <v>400</v>
      </c>
      <c r="C12" s="21">
        <v>32</v>
      </c>
      <c r="D12" s="21">
        <v>40</v>
      </c>
      <c r="E12" s="21">
        <v>7</v>
      </c>
      <c r="F12" s="21"/>
      <c r="G12" s="21"/>
      <c r="H12" s="21"/>
      <c r="I12" s="21"/>
      <c r="J12" s="21"/>
      <c r="K12" s="21"/>
      <c r="L12" s="21"/>
    </row>
    <row r="13" spans="1:14" x14ac:dyDescent="0.3">
      <c r="A13" s="21" t="s">
        <v>43</v>
      </c>
      <c r="B13" s="21">
        <v>100</v>
      </c>
      <c r="C13" s="21">
        <v>16</v>
      </c>
      <c r="D13" s="21">
        <v>20</v>
      </c>
      <c r="E13" s="21">
        <v>2</v>
      </c>
      <c r="F13" s="21"/>
      <c r="G13" s="21"/>
      <c r="H13" s="21"/>
      <c r="I13" s="21"/>
      <c r="J13" s="21"/>
      <c r="K13" s="21"/>
      <c r="L13" s="21"/>
    </row>
    <row r="14" spans="1:14" x14ac:dyDescent="0.3">
      <c r="A14" s="21"/>
      <c r="B14" s="21"/>
      <c r="C14" s="21"/>
      <c r="D14" s="21"/>
      <c r="E14" s="21"/>
      <c r="F14" s="21"/>
      <c r="G14" s="21"/>
      <c r="H14" s="21" t="s">
        <v>46</v>
      </c>
      <c r="I14" s="21"/>
      <c r="J14" s="21"/>
      <c r="K14" s="21"/>
      <c r="L14" s="21"/>
    </row>
    <row r="15" spans="1:14" x14ac:dyDescent="0.3">
      <c r="H15" s="21"/>
      <c r="I15" s="21"/>
      <c r="J15" s="21"/>
      <c r="K15" s="21"/>
      <c r="L15" s="21"/>
    </row>
    <row r="16" spans="1:14" x14ac:dyDescent="0.3">
      <c r="H16" s="24" t="s">
        <v>0</v>
      </c>
      <c r="I16" s="24" t="s">
        <v>1</v>
      </c>
      <c r="J16" s="24" t="s">
        <v>2</v>
      </c>
      <c r="K16" s="24" t="s">
        <v>3</v>
      </c>
      <c r="L16" s="26" t="s">
        <v>4</v>
      </c>
      <c r="M16" s="27" t="s">
        <v>49</v>
      </c>
      <c r="N16" s="32" t="s">
        <v>51</v>
      </c>
    </row>
    <row r="17" spans="8:14" x14ac:dyDescent="0.3">
      <c r="H17" s="16" t="s">
        <v>5</v>
      </c>
      <c r="I17" s="16">
        <f t="shared" ref="I17:L21" si="1">I7</f>
        <v>0.25</v>
      </c>
      <c r="J17" s="16">
        <f t="shared" si="1"/>
        <v>0.5</v>
      </c>
      <c r="K17" s="16">
        <f t="shared" si="1"/>
        <v>0.5</v>
      </c>
      <c r="L17" s="16">
        <f t="shared" si="1"/>
        <v>1</v>
      </c>
      <c r="M17" s="23">
        <f>I17^$B$4+J17^$C$4+K17^$D$4+L17^$E$4</f>
        <v>3.3897409086749026</v>
      </c>
      <c r="N17" s="31">
        <f>RANK(Table16[[#This Row],[WPM]],Table16[WPM],0)</f>
        <v>4</v>
      </c>
    </row>
    <row r="18" spans="8:14" x14ac:dyDescent="0.3">
      <c r="H18" s="19" t="s">
        <v>6</v>
      </c>
      <c r="I18" s="19">
        <f t="shared" si="1"/>
        <v>0.2857142857142857</v>
      </c>
      <c r="J18" s="16">
        <f t="shared" ref="J18:L18" si="2">J8</f>
        <v>1</v>
      </c>
      <c r="K18" s="16">
        <f t="shared" si="2"/>
        <v>1</v>
      </c>
      <c r="L18" s="16">
        <f t="shared" si="2"/>
        <v>0.42857142857142855</v>
      </c>
      <c r="M18" s="23">
        <f t="shared" ref="M18:M21" si="3">I18^$B$4+J18^$C$4+K18^$D$4+L18^$E$4</f>
        <v>3.4287008485175181</v>
      </c>
      <c r="N18" s="16">
        <f>RANK(Table16[[#This Row],[WPM]],Table16[WPM],0)</f>
        <v>3</v>
      </c>
    </row>
    <row r="19" spans="8:14" x14ac:dyDescent="0.3">
      <c r="H19" s="16" t="s">
        <v>8</v>
      </c>
      <c r="I19" s="16">
        <f t="shared" si="1"/>
        <v>0.5</v>
      </c>
      <c r="J19" s="16">
        <f t="shared" ref="J19:L19" si="4">J9</f>
        <v>0.5</v>
      </c>
      <c r="K19" s="16">
        <f t="shared" si="4"/>
        <v>0.5</v>
      </c>
      <c r="L19" s="16">
        <f t="shared" si="4"/>
        <v>0.2857142857142857</v>
      </c>
      <c r="M19" s="23">
        <f t="shared" si="3"/>
        <v>3.242336773330202</v>
      </c>
      <c r="N19" s="16">
        <f>RANK(Table16[[#This Row],[WPM]],Table16[WPM],0)</f>
        <v>5</v>
      </c>
    </row>
    <row r="20" spans="8:14" x14ac:dyDescent="0.3">
      <c r="H20" s="19" t="s">
        <v>10</v>
      </c>
      <c r="I20" s="19">
        <f t="shared" si="1"/>
        <v>1</v>
      </c>
      <c r="J20" s="16">
        <f t="shared" ref="J20:L20" si="5">J10</f>
        <v>1</v>
      </c>
      <c r="K20" s="16">
        <f t="shared" si="5"/>
        <v>1</v>
      </c>
      <c r="L20" s="16">
        <f t="shared" si="5"/>
        <v>0.42857142857142855</v>
      </c>
      <c r="M20" s="23">
        <f t="shared" si="3"/>
        <v>3.7755449324140362</v>
      </c>
      <c r="N20" s="16">
        <f>RANK(Table16[[#This Row],[WPM]],Table16[WPM],0)</f>
        <v>1</v>
      </c>
    </row>
    <row r="21" spans="8:14" x14ac:dyDescent="0.3">
      <c r="H21" s="25" t="s">
        <v>12</v>
      </c>
      <c r="I21" s="25">
        <f t="shared" si="1"/>
        <v>0.5</v>
      </c>
      <c r="J21" s="16">
        <f t="shared" ref="J21:L21" si="6">J11</f>
        <v>0.5</v>
      </c>
      <c r="K21" s="16">
        <f t="shared" si="6"/>
        <v>0.875</v>
      </c>
      <c r="L21" s="16">
        <f t="shared" si="6"/>
        <v>0.8571428571428571</v>
      </c>
      <c r="M21" s="30">
        <f t="shared" si="3"/>
        <v>3.5942612785291352</v>
      </c>
      <c r="N21" s="25">
        <f>RANK(Table16[[#This Row],[WPM]],Table16[WPM],0)</f>
        <v>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1E06-F297-4F0D-B5B6-C71AF86AC0A5}">
  <dimension ref="A2:M21"/>
  <sheetViews>
    <sheetView topLeftCell="A3" workbookViewId="0">
      <selection activeCell="N25" sqref="N25"/>
    </sheetView>
  </sheetViews>
  <sheetFormatPr defaultRowHeight="14.4" x14ac:dyDescent="0.3"/>
  <cols>
    <col min="1" max="1" width="20" bestFit="1" customWidth="1"/>
    <col min="2" max="2" width="12.44140625" customWidth="1"/>
    <col min="3" max="3" width="13.5546875" customWidth="1"/>
    <col min="4" max="5" width="14.6640625" bestFit="1" customWidth="1"/>
    <col min="6" max="6" width="10.44140625" customWidth="1"/>
    <col min="8" max="8" width="6.44140625" customWidth="1"/>
    <col min="9" max="9" width="17.33203125" bestFit="1" customWidth="1"/>
    <col min="10" max="10" width="9.6640625" bestFit="1" customWidth="1"/>
    <col min="11" max="11" width="15.6640625" bestFit="1" customWidth="1"/>
    <col min="14" max="15" width="15.6640625" bestFit="1" customWidth="1"/>
  </cols>
  <sheetData>
    <row r="2" spans="1:13" x14ac:dyDescent="0.3">
      <c r="A2" t="str">
        <f>'MAIN SHEET'!I2</f>
        <v>CAT</v>
      </c>
      <c r="B2" t="str">
        <f>'MAIN SHEET'!J2</f>
        <v>Price</v>
      </c>
      <c r="C2" t="str">
        <f>'MAIN SHEET'!K2</f>
        <v>Storage</v>
      </c>
      <c r="D2" t="str">
        <f>'MAIN SHEET'!L2</f>
        <v>Camera</v>
      </c>
      <c r="E2" t="str">
        <f>'MAIN SHEET'!M2</f>
        <v>Looks</v>
      </c>
      <c r="F2" t="s">
        <v>44</v>
      </c>
      <c r="G2" t="s">
        <v>49</v>
      </c>
    </row>
    <row r="3" spans="1:13" x14ac:dyDescent="0.3">
      <c r="A3" t="str">
        <f>'MAIN SHEET'!I3</f>
        <v>WT (your weightage)</v>
      </c>
      <c r="B3">
        <f>'MAIN SHEET'!J3</f>
        <v>0.1</v>
      </c>
      <c r="C3">
        <f>'MAIN SHEET'!K3</f>
        <v>0.5</v>
      </c>
      <c r="D3">
        <f>'MAIN SHEET'!L3</f>
        <v>0.3</v>
      </c>
      <c r="E3">
        <f>'MAIN SHEET'!M3</f>
        <v>0.1</v>
      </c>
      <c r="F3">
        <v>0.5</v>
      </c>
      <c r="G3">
        <v>0.5</v>
      </c>
    </row>
    <row r="4" spans="1:13" x14ac:dyDescent="0.3">
      <c r="A4" t="str">
        <f>'MAIN SHEET'!I4</f>
        <v>WT (system weightage)</v>
      </c>
      <c r="B4" s="1">
        <f>'MAIN SHEET'!J4</f>
        <v>0.39121086917615311</v>
      </c>
      <c r="C4" s="1">
        <f>'MAIN SHEET'!K4</f>
        <v>0.21348619910295424</v>
      </c>
      <c r="D4" s="1">
        <f>'MAIN SHEET'!L4</f>
        <v>0.19237296750781807</v>
      </c>
      <c r="E4" s="1">
        <f>'MAIN SHEET'!M4</f>
        <v>0.20292996421307458</v>
      </c>
      <c r="F4">
        <f>Entropy!R21</f>
        <v>0.952824128795976</v>
      </c>
      <c r="G4">
        <f>Entropy!S21</f>
        <v>4.7175871204023979E-2</v>
      </c>
      <c r="I4" s="10" t="s">
        <v>48</v>
      </c>
    </row>
    <row r="5" spans="1:13" x14ac:dyDescent="0.3">
      <c r="F5" t="s">
        <v>44</v>
      </c>
      <c r="G5" t="s">
        <v>49</v>
      </c>
    </row>
    <row r="6" spans="1:13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I6" t="s">
        <v>0</v>
      </c>
      <c r="J6" t="s">
        <v>44</v>
      </c>
      <c r="K6" t="s">
        <v>49</v>
      </c>
      <c r="L6" t="s">
        <v>52</v>
      </c>
      <c r="M6" t="s">
        <v>51</v>
      </c>
    </row>
    <row r="7" spans="1:13" s="11" customFormat="1" x14ac:dyDescent="0.3">
      <c r="A7" s="11" t="str">
        <f>'MAIN SHEET'!A4</f>
        <v>Mobile 1</v>
      </c>
      <c r="B7" s="11">
        <f>'MAIN SHEET'!B4</f>
        <v>400</v>
      </c>
      <c r="C7" s="11">
        <f>'MAIN SHEET'!C4</f>
        <v>16</v>
      </c>
      <c r="D7" s="11">
        <f>'MAIN SHEET'!D4</f>
        <v>20</v>
      </c>
      <c r="E7" s="11">
        <f>'MAIN SHEET'!F4</f>
        <v>7</v>
      </c>
      <c r="G7"/>
      <c r="I7" s="11" t="str">
        <f>Table5[[#This Row],[Atribute/ criteria]]</f>
        <v>Mobile 1</v>
      </c>
      <c r="J7" s="11">
        <f>Table569[[#This Row],[WSM]]</f>
        <v>0.52500000000000002</v>
      </c>
      <c r="K7" s="11">
        <f>Table15[[#This Row],[WPM]]</f>
        <v>3.3899097408389069</v>
      </c>
      <c r="L7" s="11">
        <f>Table56[[#This Row],[WSM]]*$F$3+Table56[[#This Row],[WPM]]+$G$3</f>
        <v>4.1524097408389071</v>
      </c>
      <c r="M7" s="11">
        <f>RANK(Table56[[#This Row],[WASPAS]],Table56[WASPAS],0)</f>
        <v>4</v>
      </c>
    </row>
    <row r="8" spans="1:13" s="11" customFormat="1" x14ac:dyDescent="0.3">
      <c r="A8" s="11" t="str">
        <f>'MAIN SHEET'!A5</f>
        <v>Mobile 2</v>
      </c>
      <c r="B8" s="11">
        <f>'MAIN SHEET'!B5</f>
        <v>350</v>
      </c>
      <c r="C8" s="11">
        <f>'MAIN SHEET'!C5</f>
        <v>32</v>
      </c>
      <c r="D8" s="11">
        <f>'MAIN SHEET'!D5</f>
        <v>40</v>
      </c>
      <c r="E8" s="11">
        <f>'MAIN SHEET'!F5</f>
        <v>3</v>
      </c>
      <c r="G8"/>
      <c r="I8" s="11" t="str">
        <f>Table5[[#This Row],[Atribute/ criteria]]</f>
        <v>Mobile 2</v>
      </c>
      <c r="J8" s="11">
        <f>Table569[[#This Row],[WSM]]</f>
        <v>0.87142857142857133</v>
      </c>
      <c r="K8" s="11">
        <f>Table15[[#This Row],[WPM]]</f>
        <v>3.8010136179326537</v>
      </c>
      <c r="L8" s="11">
        <f>Table56[[#This Row],[WSM]]*$F$3+Table56[[#This Row],[WPM]]+$G$3</f>
        <v>4.7367279036469396</v>
      </c>
      <c r="M8" s="11">
        <f>RANK(Table56[[#This Row],[WASPAS]],Table56[WASPAS],0)</f>
        <v>2</v>
      </c>
    </row>
    <row r="9" spans="1:13" s="11" customFormat="1" x14ac:dyDescent="0.3">
      <c r="A9" s="11" t="str">
        <f>'MAIN SHEET'!A6</f>
        <v>Mobile 3</v>
      </c>
      <c r="B9" s="11">
        <f>'MAIN SHEET'!B6</f>
        <v>200</v>
      </c>
      <c r="C9" s="11">
        <f>'MAIN SHEET'!C6</f>
        <v>16</v>
      </c>
      <c r="D9" s="11">
        <f>'MAIN SHEET'!D6</f>
        <v>20</v>
      </c>
      <c r="E9" s="11">
        <f>'MAIN SHEET'!F6</f>
        <v>2</v>
      </c>
      <c r="G9"/>
      <c r="I9" s="11" t="str">
        <f>Table5[[#This Row],[Atribute/ criteria]]</f>
        <v>Mobile 3</v>
      </c>
      <c r="J9" s="11">
        <f>Table569[[#This Row],[WSM]]</f>
        <v>0.47857142857142854</v>
      </c>
      <c r="K9" s="11">
        <f>Table15[[#This Row],[WPM]]</f>
        <v>3.334645274232058</v>
      </c>
      <c r="L9" s="11">
        <f>Table56[[#This Row],[WSM]]*$F$3+Table56[[#This Row],[WPM]]+$G$3</f>
        <v>4.0739309885177724</v>
      </c>
      <c r="M9" s="11">
        <f>RANK(Table56[[#This Row],[WASPAS]],Table56[WASPAS],0)</f>
        <v>5</v>
      </c>
    </row>
    <row r="10" spans="1:13" s="11" customFormat="1" x14ac:dyDescent="0.3">
      <c r="A10" s="11" t="str">
        <f>'MAIN SHEET'!A7</f>
        <v>Mobile 4</v>
      </c>
      <c r="B10" s="11">
        <f>'MAIN SHEET'!B7</f>
        <v>1000</v>
      </c>
      <c r="C10" s="11">
        <f>'MAIN SHEET'!C7</f>
        <v>8</v>
      </c>
      <c r="D10" s="11">
        <f>'MAIN SHEET'!D7</f>
        <v>10</v>
      </c>
      <c r="E10" s="11">
        <f>'MAIN SHEET'!F7</f>
        <v>3</v>
      </c>
      <c r="G10"/>
      <c r="I10" s="11" t="str">
        <f>Table5[[#This Row],[Atribute/ criteria]]</f>
        <v>Mobile 4</v>
      </c>
      <c r="J10" s="11">
        <f>Table569[[#This Row],[WSM]]</f>
        <v>0.94285714285714273</v>
      </c>
      <c r="K10" s="11">
        <f>Table15[[#This Row],[WPM]]</f>
        <v>3.9187605127801861</v>
      </c>
      <c r="L10" s="11">
        <f>Table56[[#This Row],[WSM]]*$F$3+Table56[[#This Row],[WPM]]+$G$3</f>
        <v>4.8901890842087576</v>
      </c>
      <c r="M10" s="11">
        <f>RANK(Table56[[#This Row],[WASPAS]],Table56[WASPAS],0)</f>
        <v>1</v>
      </c>
    </row>
    <row r="11" spans="1:13" s="11" customFormat="1" x14ac:dyDescent="0.3">
      <c r="A11" s="11" t="str">
        <f>'MAIN SHEET'!A8</f>
        <v>Mobile 5</v>
      </c>
      <c r="B11" s="11">
        <f>'MAIN SHEET'!B8</f>
        <v>200</v>
      </c>
      <c r="C11" s="11">
        <f>'MAIN SHEET'!C8</f>
        <v>32</v>
      </c>
      <c r="D11" s="11">
        <f>'MAIN SHEET'!D8</f>
        <v>35</v>
      </c>
      <c r="E11" s="11">
        <f>'MAIN SHEET'!F8</f>
        <v>6</v>
      </c>
      <c r="I11" s="11" t="str">
        <f>Table5[[#This Row],[Atribute/ criteria]]</f>
        <v>Mobile 5</v>
      </c>
      <c r="J11" s="11">
        <f>Table569[[#This Row],[WSM]]</f>
        <v>0.64821428571428574</v>
      </c>
      <c r="K11" s="11">
        <f>Table15[[#This Row],[WPM]]</f>
        <v>3.5855752616131156</v>
      </c>
      <c r="L11" s="11">
        <f>Table56[[#This Row],[WSM]]*$F$3+Table56[[#This Row],[WPM]]+$G$3</f>
        <v>4.4096824044702583</v>
      </c>
      <c r="M11" s="11">
        <f>RANK(Table56[[#This Row],[WASPAS]],Table56[WASPAS],0)</f>
        <v>3</v>
      </c>
    </row>
    <row r="12" spans="1:13" x14ac:dyDescent="0.3">
      <c r="A12" s="11" t="s">
        <v>14</v>
      </c>
      <c r="B12" s="11">
        <f>MAX(Table5[Price])</f>
        <v>1000</v>
      </c>
      <c r="C12" s="11">
        <f>MAX(Table5[Storage])</f>
        <v>32</v>
      </c>
      <c r="D12" s="11">
        <f>MAX(Table5[Camera])</f>
        <v>40</v>
      </c>
      <c r="E12" s="11">
        <f>MAX(Table5[Looks])</f>
        <v>7</v>
      </c>
    </row>
    <row r="13" spans="1:13" x14ac:dyDescent="0.3">
      <c r="A13" t="s">
        <v>43</v>
      </c>
      <c r="B13">
        <f>MIN(Table5[Price])</f>
        <v>200</v>
      </c>
      <c r="C13">
        <f>MIN(Table5[Storage])</f>
        <v>8</v>
      </c>
      <c r="D13">
        <f>MIN(Table5[Camera])</f>
        <v>10</v>
      </c>
      <c r="E13">
        <f>MIN(Table5[Looks])</f>
        <v>2</v>
      </c>
    </row>
    <row r="14" spans="1:13" x14ac:dyDescent="0.3">
      <c r="I14" s="10" t="s">
        <v>46</v>
      </c>
    </row>
    <row r="16" spans="1:13" x14ac:dyDescent="0.3">
      <c r="I16" t="s">
        <v>0</v>
      </c>
      <c r="J16" t="s">
        <v>44</v>
      </c>
      <c r="K16" t="s">
        <v>49</v>
      </c>
      <c r="L16" t="s">
        <v>52</v>
      </c>
      <c r="M16" t="s">
        <v>51</v>
      </c>
    </row>
    <row r="17" spans="9:13" x14ac:dyDescent="0.3">
      <c r="I17" s="11" t="str">
        <f t="shared" ref="I17:I21" si="0">I7</f>
        <v>Mobile 1</v>
      </c>
      <c r="J17" s="11">
        <f>Table56910[[#This Row],[WSM]]</f>
        <v>0.50366226481249909</v>
      </c>
      <c r="K17" s="33">
        <f>Table16[[#This Row],[WPM]]</f>
        <v>3.3897409086749026</v>
      </c>
      <c r="L17" s="11">
        <f>Table5613[[#This Row],[WSM]]*$F$4+Table5613[[#This Row],[WPM]]*$G$4</f>
        <v>0.63981553920003598</v>
      </c>
      <c r="M17" s="11">
        <f>RANK(Table5613[[#This Row],[WASPAS]],Table5613[WASPAS],0)</f>
        <v>4</v>
      </c>
    </row>
    <row r="18" spans="9:13" x14ac:dyDescent="0.3">
      <c r="I18" s="11" t="str">
        <f t="shared" si="0"/>
        <v>Mobile 2</v>
      </c>
      <c r="J18" s="11">
        <f>Table56910[[#This Row],[WSM]]</f>
        <v>0.60460368532384812</v>
      </c>
      <c r="K18" s="33">
        <f>Table16[[#This Row],[WPM]]</f>
        <v>3.4287008485175181</v>
      </c>
      <c r="L18" s="11">
        <f>Table5613[[#This Row],[WSM]]*$F$4+Table5613[[#This Row],[WPM]]*$G$4</f>
        <v>0.73783292936232214</v>
      </c>
      <c r="M18" s="11">
        <f>RANK(Table5613[[#This Row],[WASPAS]],Table5613[WASPAS],0)</f>
        <v>3</v>
      </c>
    </row>
    <row r="19" spans="9:13" x14ac:dyDescent="0.3">
      <c r="I19" s="11" t="str">
        <f t="shared" si="0"/>
        <v>Mobile 3</v>
      </c>
      <c r="J19" s="11">
        <f>Table56910[[#This Row],[WSM]]</f>
        <v>0.45651500766862685</v>
      </c>
      <c r="K19" s="33">
        <f>Table16[[#This Row],[WPM]]</f>
        <v>3.242336773330202</v>
      </c>
      <c r="L19" s="11">
        <f>Table5613[[#This Row],[WSM]]*$F$4+Table5613[[#This Row],[WPM]]*$G$4</f>
        <v>0.58793857648284398</v>
      </c>
      <c r="M19" s="11">
        <f>RANK(Table5613[[#This Row],[WASPAS]],Table5613[WASPAS],0)</f>
        <v>5</v>
      </c>
    </row>
    <row r="20" spans="9:13" x14ac:dyDescent="0.3">
      <c r="I20" s="11" t="str">
        <f t="shared" si="0"/>
        <v>Mobile 4</v>
      </c>
      <c r="J20" s="11">
        <f>Table56910[[#This Row],[WSM]]</f>
        <v>0.88404002044967167</v>
      </c>
      <c r="K20" s="33">
        <f>Table16[[#This Row],[WPM]]</f>
        <v>3.7755449324140362</v>
      </c>
      <c r="L20" s="11">
        <f>Table5613[[#This Row],[WSM]]*$F$4+Table5613[[#This Row],[WPM]]*$G$4</f>
        <v>1.0204492837623051</v>
      </c>
      <c r="M20" s="11">
        <f>RANK(Table5613[[#This Row],[WASPAS]],Table5613[WASPAS],0)</f>
        <v>1</v>
      </c>
    </row>
    <row r="21" spans="9:13" x14ac:dyDescent="0.3">
      <c r="I21" s="11" t="str">
        <f t="shared" si="0"/>
        <v>Mobile 5</v>
      </c>
      <c r="J21" s="11">
        <f>Table56910[[#This Row],[WSM]]</f>
        <v>0.6446148500343869</v>
      </c>
      <c r="K21" s="33">
        <f>Table16[[#This Row],[WPM]]</f>
        <v>3.5942612785291352</v>
      </c>
      <c r="L21" s="11">
        <f>Table5613[[#This Row],[WSM]]*$F$4+Table5613[[#This Row],[WPM]]*$G$4</f>
        <v>0.78376699004246442</v>
      </c>
      <c r="M21" s="11">
        <f>RANK(Table5613[[#This Row],[WASPAS]],Table5613[WASPAS],0)</f>
        <v>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3AA6-FF1F-477E-825D-D28FCEE64930}">
  <dimension ref="A2:R27"/>
  <sheetViews>
    <sheetView workbookViewId="0">
      <selection activeCell="N7" sqref="N7"/>
    </sheetView>
  </sheetViews>
  <sheetFormatPr defaultRowHeight="14.4" x14ac:dyDescent="0.3"/>
  <cols>
    <col min="1" max="1" width="20" bestFit="1" customWidth="1"/>
    <col min="2" max="2" width="7.33203125" bestFit="1" customWidth="1"/>
    <col min="10" max="10" width="16.88671875" customWidth="1"/>
    <col min="12" max="13" width="9.33203125" customWidth="1"/>
  </cols>
  <sheetData>
    <row r="2" spans="1:18" x14ac:dyDescent="0.3">
      <c r="A2" t="str">
        <f>'MAIN SHEET'!I2</f>
        <v>CAT</v>
      </c>
      <c r="B2" t="str">
        <f>'MAIN SHEET'!J2</f>
        <v>Price</v>
      </c>
      <c r="C2" t="str">
        <f>'MAIN SHEET'!K2</f>
        <v>Storage</v>
      </c>
      <c r="D2" t="str">
        <f>'MAIN SHEET'!L2</f>
        <v>Camera</v>
      </c>
      <c r="E2" t="str">
        <f>'MAIN SHEET'!M2</f>
        <v>Looks</v>
      </c>
    </row>
    <row r="3" spans="1:18" x14ac:dyDescent="0.3">
      <c r="A3" t="str">
        <f>'MAIN SHEET'!I3</f>
        <v>WT (your weightage)</v>
      </c>
      <c r="B3">
        <f>'MAIN SHEET'!J3</f>
        <v>0.1</v>
      </c>
      <c r="C3">
        <f>'MAIN SHEET'!K3</f>
        <v>0.5</v>
      </c>
      <c r="D3">
        <f>'MAIN SHEET'!L3</f>
        <v>0.3</v>
      </c>
      <c r="E3">
        <f>'MAIN SHEET'!M3</f>
        <v>0.1</v>
      </c>
    </row>
    <row r="4" spans="1:18" x14ac:dyDescent="0.3">
      <c r="A4" t="str">
        <f>'MAIN SHEET'!I4</f>
        <v>WT (system weightage)</v>
      </c>
      <c r="B4" s="1">
        <f>'MAIN SHEET'!J4</f>
        <v>0.39121086917615311</v>
      </c>
      <c r="C4" s="1">
        <f>'MAIN SHEET'!K4</f>
        <v>0.21348619910295424</v>
      </c>
      <c r="D4" s="1">
        <f>'MAIN SHEET'!L4</f>
        <v>0.19237296750781807</v>
      </c>
      <c r="E4" s="1">
        <f>'MAIN SHEET'!M4</f>
        <v>0.20292996421307458</v>
      </c>
      <c r="J4" s="35" t="s">
        <v>48</v>
      </c>
      <c r="K4" s="21"/>
      <c r="L4" s="21"/>
      <c r="M4" s="21"/>
      <c r="N4" s="21"/>
    </row>
    <row r="5" spans="1:18" x14ac:dyDescent="0.3">
      <c r="J5" s="21"/>
      <c r="K5" s="21"/>
      <c r="L5" s="21"/>
      <c r="M5" s="21"/>
      <c r="N5" s="21"/>
    </row>
    <row r="6" spans="1:18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J6" s="24" t="s">
        <v>0</v>
      </c>
      <c r="K6" s="24" t="s">
        <v>1</v>
      </c>
      <c r="L6" s="24" t="s">
        <v>2</v>
      </c>
      <c r="M6" s="24" t="s">
        <v>3</v>
      </c>
      <c r="N6" s="24" t="s">
        <v>4</v>
      </c>
      <c r="O6" s="24" t="s">
        <v>59</v>
      </c>
      <c r="P6" s="24" t="s">
        <v>60</v>
      </c>
      <c r="Q6" s="24" t="s">
        <v>61</v>
      </c>
      <c r="R6" s="24" t="s">
        <v>51</v>
      </c>
    </row>
    <row r="7" spans="1:18" x14ac:dyDescent="0.3">
      <c r="A7" s="11" t="str">
        <f>'MAIN SHEET'!A4</f>
        <v>Mobile 1</v>
      </c>
      <c r="B7" s="11">
        <f>'MAIN SHEET'!B4</f>
        <v>400</v>
      </c>
      <c r="C7" s="11">
        <f>'MAIN SHEET'!C4</f>
        <v>16</v>
      </c>
      <c r="D7" s="11">
        <f>'MAIN SHEET'!D4</f>
        <v>20</v>
      </c>
      <c r="E7" s="11">
        <f>'MAIN SHEET'!F4</f>
        <v>7</v>
      </c>
      <c r="J7" s="16" t="s">
        <v>5</v>
      </c>
      <c r="K7" s="16">
        <f>Table5721[[#This Row],[Price]]/$B$12*$B$3</f>
        <v>3.4268234950249547E-2</v>
      </c>
      <c r="L7" s="16">
        <f>Table5721[[#This Row],[Storage]]/$C$12*$C$3</f>
        <v>0.15617376188860607</v>
      </c>
      <c r="M7" s="16">
        <f>Table5721[[#This Row],[Camera]]/$D$12*$D$3</f>
        <v>9.8307830462284848E-2</v>
      </c>
      <c r="N7" s="16">
        <f>Table5721[[#This Row],[Looks]]/$E$12*$E$3</f>
        <v>6.7671554233196457E-2</v>
      </c>
      <c r="O7" s="38">
        <f>SQRT(POWER($K$13-Table23[[#This Row],[Price]],2) + POWER($L$13-Table23[[#This Row],[Storage]],2) + POWER($M$13-Table23[[#This Row],[Camera]],2) + POWER($N$13-Table23[[#This Row],[Looks]],2))</f>
        <v>0.19156428494764557</v>
      </c>
      <c r="P7" s="38">
        <f>SQRT(POWER($K$14-Table23[[#This Row],[Price]],2) + POWER($L$14-Table23[[#This Row],[Storage]],2) + POWER($M$14-Table23[[#This Row],[Camera]],2) + POWER($N$14-Table23[[#This Row],[Looks]],2))</f>
        <v>0.10556370085376085</v>
      </c>
      <c r="Q7" s="38">
        <f>Table23[[#This Row],[SI-]]/Table23[[#This Row],[SI+]]+Table23[[#This Row],[SI-]]</f>
        <v>0.65662519377563489</v>
      </c>
      <c r="R7" s="38">
        <f>RANK(Table23[[#This Row],[PI]],Table23[PI],0)</f>
        <v>3</v>
      </c>
    </row>
    <row r="8" spans="1:18" x14ac:dyDescent="0.3">
      <c r="A8" s="11" t="str">
        <f>'MAIN SHEET'!A5</f>
        <v>Mobile 2</v>
      </c>
      <c r="B8" s="11">
        <f>'MAIN SHEET'!B5</f>
        <v>350</v>
      </c>
      <c r="C8" s="11">
        <f>'MAIN SHEET'!C5</f>
        <v>32</v>
      </c>
      <c r="D8" s="11">
        <f>'MAIN SHEET'!D5</f>
        <v>40</v>
      </c>
      <c r="E8" s="11">
        <f>'MAIN SHEET'!F5</f>
        <v>3</v>
      </c>
      <c r="J8" s="19" t="s">
        <v>6</v>
      </c>
      <c r="K8" s="16">
        <f>Table5721[[#This Row],[Price]]/$B$12*$B$3</f>
        <v>2.9984705581468353E-2</v>
      </c>
      <c r="L8" s="19">
        <f>Table5721[[#This Row],[Storage]]/$C$12*$C$3</f>
        <v>0.31234752377721214</v>
      </c>
      <c r="M8" s="19">
        <f>Table5721[[#This Row],[Camera]]/$D$12*$D$3</f>
        <v>0.1966156609245697</v>
      </c>
      <c r="N8" s="19">
        <f>Table5721[[#This Row],[Looks]]/$E$12*$E$3</f>
        <v>2.9002094671369907E-2</v>
      </c>
      <c r="O8" s="36">
        <f>SQRT(POWER($K$13-Table23[[#This Row],[Price]],2) + POWER($L$13-Table23[[#This Row],[Storage]],2) + POWER($M$13-Table23[[#This Row],[Camera]],2) + POWER($N$13-Table23[[#This Row],[Looks]],2))</f>
        <v>6.7795608515569789E-2</v>
      </c>
      <c r="P8" s="36">
        <f>SQRT(POWER($K$14-Table23[[#This Row],[Price]],2) + POWER($L$14-Table23[[#This Row],[Storage]],2) + POWER($M$14-Table23[[#This Row],[Camera]],2) + POWER($N$14-Table23[[#This Row],[Looks]],2))</f>
        <v>0.27727533388681541</v>
      </c>
      <c r="Q8" s="36">
        <f>Table23[[#This Row],[SI-]]/Table23[[#This Row],[SI+]]+Table23[[#This Row],[SI-]]</f>
        <v>4.3671469340972768</v>
      </c>
      <c r="R8" s="36">
        <f>RANK(Table23[[#This Row],[PI]],Table23[PI],0)</f>
        <v>1</v>
      </c>
    </row>
    <row r="9" spans="1:18" x14ac:dyDescent="0.3">
      <c r="A9" s="11" t="str">
        <f>'MAIN SHEET'!A6</f>
        <v>Mobile 3</v>
      </c>
      <c r="B9" s="11">
        <f>'MAIN SHEET'!B6</f>
        <v>200</v>
      </c>
      <c r="C9" s="11">
        <f>'MAIN SHEET'!C6</f>
        <v>16</v>
      </c>
      <c r="D9" s="11">
        <f>'MAIN SHEET'!D6</f>
        <v>20</v>
      </c>
      <c r="E9" s="11">
        <f>'MAIN SHEET'!F6</f>
        <v>2</v>
      </c>
      <c r="J9" s="16" t="s">
        <v>8</v>
      </c>
      <c r="K9" s="16">
        <f>Table5721[[#This Row],[Price]]/$B$12*$B$3</f>
        <v>1.7134117475124774E-2</v>
      </c>
      <c r="L9" s="16">
        <f>Table5721[[#This Row],[Storage]]/$C$12*$C$3</f>
        <v>0.15617376188860607</v>
      </c>
      <c r="M9" s="16">
        <f>Table5721[[#This Row],[Camera]]/$D$12*$D$3</f>
        <v>9.8307830462284848E-2</v>
      </c>
      <c r="N9" s="16">
        <f>Table5721[[#This Row],[Looks]]/$E$12*$E$3</f>
        <v>1.9334729780913273E-2</v>
      </c>
      <c r="O9" s="36">
        <f>SQRT(POWER($K$13-Table23[[#This Row],[Price]],2) + POWER($L$13-Table23[[#This Row],[Storage]],2) + POWER($M$13-Table23[[#This Row],[Camera]],2) + POWER($N$13-Table23[[#This Row],[Looks]],2))</f>
        <v>0.20270266336975751</v>
      </c>
      <c r="P9" s="36">
        <f>SQRT(POWER($K$14-Table23[[#This Row],[Price]],2) + POWER($L$14-Table23[[#This Row],[Storage]],2) + POWER($M$14-Table23[[#This Row],[Camera]],2) + POWER($N$14-Table23[[#This Row],[Looks]],2))</f>
        <v>9.2269541876830036E-2</v>
      </c>
      <c r="Q9" s="36">
        <f>Table23[[#This Row],[SI-]]/Table23[[#This Row],[SI+]]+Table23[[#This Row],[SI-]]</f>
        <v>0.54746603679667094</v>
      </c>
      <c r="R9" s="36">
        <f>RANK(Table23[[#This Row],[PI]],Table23[PI],0)</f>
        <v>4</v>
      </c>
    </row>
    <row r="10" spans="1:18" x14ac:dyDescent="0.3">
      <c r="A10" s="11" t="str">
        <f>'MAIN SHEET'!A7</f>
        <v>Mobile 4</v>
      </c>
      <c r="B10" s="11">
        <f>'MAIN SHEET'!B7</f>
        <v>1000</v>
      </c>
      <c r="C10" s="11">
        <f>'MAIN SHEET'!C7</f>
        <v>8</v>
      </c>
      <c r="D10" s="11">
        <f>'MAIN SHEET'!D7</f>
        <v>10</v>
      </c>
      <c r="E10" s="11">
        <f>'MAIN SHEET'!F7</f>
        <v>3</v>
      </c>
      <c r="J10" s="19" t="s">
        <v>10</v>
      </c>
      <c r="K10" s="16">
        <f>Table5721[[#This Row],[Price]]/$B$12*$B$3</f>
        <v>8.5670587375623872E-2</v>
      </c>
      <c r="L10" s="19">
        <f>Table5721[[#This Row],[Storage]]/$C$12*$C$3</f>
        <v>7.8086880944303036E-2</v>
      </c>
      <c r="M10" s="19">
        <f>Table5721[[#This Row],[Camera]]/$D$12*$D$3</f>
        <v>4.9153915231142424E-2</v>
      </c>
      <c r="N10" s="19">
        <f>Table5721[[#This Row],[Looks]]/$E$12*$E$3</f>
        <v>2.9002094671369907E-2</v>
      </c>
      <c r="O10" s="36">
        <f>SQRT(POWER($K$13-Table23[[#This Row],[Price]],2) + POWER($L$13-Table23[[#This Row],[Storage]],2) + POWER($M$13-Table23[[#This Row],[Camera]],2) + POWER($N$13-Table23[[#This Row],[Looks]],2))</f>
        <v>0.27949658732486266</v>
      </c>
      <c r="P10" s="36">
        <f>SQRT(POWER($K$14-Table23[[#This Row],[Price]],2) + POWER($L$14-Table23[[#This Row],[Storage]],2) + POWER($M$14-Table23[[#This Row],[Camera]],2) + POWER($N$14-Table23[[#This Row],[Looks]],2))</f>
        <v>6.9214923610065857E-2</v>
      </c>
      <c r="Q10" s="36">
        <f>Table23[[#This Row],[SI-]]/Table23[[#This Row],[SI+]]+Table23[[#This Row],[SI-]]</f>
        <v>0.31685631441394146</v>
      </c>
      <c r="R10" s="36">
        <f>RANK(Table23[[#This Row],[PI]],Table23[PI],0)</f>
        <v>5</v>
      </c>
    </row>
    <row r="11" spans="1:18" x14ac:dyDescent="0.3">
      <c r="A11" s="11" t="str">
        <f>'MAIN SHEET'!A8</f>
        <v>Mobile 5</v>
      </c>
      <c r="B11" s="11">
        <f>'MAIN SHEET'!B8</f>
        <v>200</v>
      </c>
      <c r="C11" s="11">
        <f>'MAIN SHEET'!C8</f>
        <v>32</v>
      </c>
      <c r="D11" s="11">
        <f>'MAIN SHEET'!D8</f>
        <v>35</v>
      </c>
      <c r="E11" s="11">
        <f>'MAIN SHEET'!F8</f>
        <v>6</v>
      </c>
      <c r="J11" s="25" t="s">
        <v>12</v>
      </c>
      <c r="K11" s="16">
        <f>Table5721[[#This Row],[Price]]/$B$12*$B$3</f>
        <v>1.7134117475124774E-2</v>
      </c>
      <c r="L11" s="25">
        <f>Table5721[[#This Row],[Storage]]/$C$12*$C$3</f>
        <v>0.31234752377721214</v>
      </c>
      <c r="M11" s="25">
        <f>Table5721[[#This Row],[Camera]]/$D$12*$D$3</f>
        <v>0.17203870330899848</v>
      </c>
      <c r="N11" s="25">
        <f>Table5721[[#This Row],[Looks]]/$E$12*$E$3</f>
        <v>5.8004189342739813E-2</v>
      </c>
      <c r="O11" s="37">
        <f>SQRT(POWER($K$13-Table23[[#This Row],[Price]],2) + POWER($L$13-Table23[[#This Row],[Storage]],2) + POWER($M$13-Table23[[#This Row],[Camera]],2) + POWER($N$13-Table23[[#This Row],[Looks]],2))</f>
        <v>7.3448842713720389E-2</v>
      </c>
      <c r="P11" s="37">
        <f>SQRT(POWER($K$14-Table23[[#This Row],[Price]],2) + POWER($L$14-Table23[[#This Row],[Storage]],2) + POWER($M$14-Table23[[#This Row],[Camera]],2) + POWER($N$14-Table23[[#This Row],[Looks]],2))</f>
        <v>0.26734630542468907</v>
      </c>
      <c r="Q11" s="37">
        <f>Table23[[#This Row],[SI-]]/Table23[[#This Row],[SI+]]+Table23[[#This Row],[SI-]]</f>
        <v>3.9072444378801952</v>
      </c>
      <c r="R11" s="37">
        <f>RANK(Table23[[#This Row],[PI]],Table23[PI],0)</f>
        <v>2</v>
      </c>
    </row>
    <row r="12" spans="1:18" x14ac:dyDescent="0.3">
      <c r="A12" s="11" t="s">
        <v>54</v>
      </c>
      <c r="B12" s="11">
        <f>SQRT(SUMSQ(Table5721[Price]))</f>
        <v>1167.2617529928752</v>
      </c>
      <c r="C12" s="11">
        <f>SQRT(SUMSQ(Table5721[Storage]))</f>
        <v>51.224993899462788</v>
      </c>
      <c r="D12" s="11">
        <f>SQRT(SUMSQ(Table5721[Camera]))</f>
        <v>61.032778078668514</v>
      </c>
      <c r="E12" s="11">
        <f>SQRT(SUMSQ(Table5721[Looks]))</f>
        <v>10.344080432788601</v>
      </c>
      <c r="J12" s="21"/>
      <c r="K12" s="21"/>
      <c r="L12" s="21"/>
      <c r="M12" s="21"/>
      <c r="N12" s="21"/>
    </row>
    <row r="13" spans="1:18" x14ac:dyDescent="0.3">
      <c r="A13" t="s">
        <v>55</v>
      </c>
      <c r="J13" s="21" t="s">
        <v>57</v>
      </c>
      <c r="K13" s="21">
        <f>MAX(Table23[Price])</f>
        <v>8.5670587375623872E-2</v>
      </c>
      <c r="L13" s="21">
        <f>MAX(Table23[Storage])</f>
        <v>0.31234752377721214</v>
      </c>
      <c r="M13" s="21">
        <f>MAX(Table23[Camera])</f>
        <v>0.1966156609245697</v>
      </c>
      <c r="N13" s="21">
        <f>MAX(Table23[Looks])</f>
        <v>6.7671554233196457E-2</v>
      </c>
    </row>
    <row r="14" spans="1:18" x14ac:dyDescent="0.3">
      <c r="J14" t="s">
        <v>58</v>
      </c>
      <c r="K14">
        <f>MIN(Table23[Price])</f>
        <v>1.7134117475124774E-2</v>
      </c>
      <c r="L14">
        <f>MIN(Table23[Storage])</f>
        <v>7.8086880944303036E-2</v>
      </c>
      <c r="M14">
        <f>MIN(Table23[Camera])</f>
        <v>4.9153915231142424E-2</v>
      </c>
      <c r="N14">
        <f>MIN(Table23[Looks])</f>
        <v>1.9334729780913273E-2</v>
      </c>
    </row>
    <row r="17" spans="10:18" x14ac:dyDescent="0.3">
      <c r="J17" s="35" t="s">
        <v>46</v>
      </c>
      <c r="K17" s="21"/>
      <c r="L17" s="21"/>
      <c r="M17" s="21"/>
      <c r="N17" s="21"/>
    </row>
    <row r="18" spans="10:18" x14ac:dyDescent="0.3">
      <c r="J18" s="21"/>
      <c r="K18" s="21"/>
      <c r="L18" s="21"/>
      <c r="M18" s="21"/>
      <c r="N18" s="21"/>
    </row>
    <row r="19" spans="10:18" x14ac:dyDescent="0.3">
      <c r="J19" s="24" t="s">
        <v>0</v>
      </c>
      <c r="K19" s="24" t="s">
        <v>1</v>
      </c>
      <c r="L19" s="24" t="s">
        <v>2</v>
      </c>
      <c r="M19" s="24" t="s">
        <v>3</v>
      </c>
      <c r="N19" s="24" t="s">
        <v>4</v>
      </c>
      <c r="O19" s="24" t="s">
        <v>59</v>
      </c>
      <c r="P19" s="24" t="s">
        <v>60</v>
      </c>
      <c r="Q19" s="24" t="s">
        <v>61</v>
      </c>
      <c r="R19" s="24" t="s">
        <v>50</v>
      </c>
    </row>
    <row r="20" spans="10:18" x14ac:dyDescent="0.3">
      <c r="J20" s="16" t="s">
        <v>5</v>
      </c>
      <c r="K20" s="16">
        <f>B7 / $B$12 * $B$4</f>
        <v>0.13406105980019753</v>
      </c>
      <c r="L20" s="16">
        <f t="shared" ref="L20:L24" si="0">C7 / $C$12 * $C$4</f>
        <v>6.6681885650416647E-2</v>
      </c>
      <c r="M20" s="16">
        <f t="shared" ref="M20:M24" si="1">D7 / $D$12 * $D$4</f>
        <v>6.3039230250950706E-2</v>
      </c>
      <c r="N20" s="16">
        <f t="shared" ref="N20:N24" si="2">E7 / $E$12 * $E$4</f>
        <v>0.13732586078785691</v>
      </c>
      <c r="O20" s="38">
        <f>SQRT(POWER($K$26-Table24[[#This Row],[Price]],2) + POWER($L$26-Table24[[#This Row],[Storage]],2)+ POWER($M$26-Table24[[#This Row],[Camera]],2) + POWER($N$26-Table24[[#This Row],[Looks]], 2))</f>
        <v>0.22103901436787113</v>
      </c>
      <c r="P20" s="38">
        <f>SQRT(POWER($K$27-Table24[[#This Row],[Price]],2) + POWER($L$27-Table24[[#This Row],[Storage]],2)+ POWER($M$27-Table24[[#This Row],[Camera]],2) + POWER($N$27-Table24[[#This Row],[Looks]], 2))</f>
        <v>0.12735707729541806</v>
      </c>
      <c r="Q20" s="38">
        <f>Table24[[#This Row],[SI-]]/Table24[[#This Row],[SI+]]+Table24[[#This Row],[SI-]]</f>
        <v>0.70353172980929535</v>
      </c>
      <c r="R20" s="38">
        <f>RANK(Table24[[#This Row],[PI]],Table24[PI],0)</f>
        <v>4</v>
      </c>
    </row>
    <row r="21" spans="10:18" x14ac:dyDescent="0.3">
      <c r="J21" s="19" t="s">
        <v>6</v>
      </c>
      <c r="K21" s="19">
        <f t="shared" ref="K20:K24" si="3">B8 / $B$12 * $B$4</f>
        <v>0.11730342732517283</v>
      </c>
      <c r="L21" s="16">
        <f t="shared" si="0"/>
        <v>0.13336377130083329</v>
      </c>
      <c r="M21" s="16">
        <f t="shared" si="1"/>
        <v>0.12607846050190141</v>
      </c>
      <c r="N21" s="16">
        <f t="shared" si="2"/>
        <v>5.8853940337652955E-2</v>
      </c>
      <c r="O21" s="36">
        <f>SQRT(POWER($K$26-Table24[[#This Row],[Price]],2) + POWER($L$26-Table24[[#This Row],[Storage]],2)+ POWER($M$26-Table24[[#This Row],[Camera]],2) + POWER($N$26-Table24[[#This Row],[Looks]], 2))</f>
        <v>0.23155156207967051</v>
      </c>
      <c r="P21" s="36">
        <f>SQRT(POWER($K$27-Table24[[#This Row],[Price]],2) + POWER($L$27-Table24[[#This Row],[Storage]],2)+ POWER($M$27-Table24[[#This Row],[Camera]],2) + POWER($N$27-Table24[[#This Row],[Looks]], 2))</f>
        <v>0.14784509059957185</v>
      </c>
      <c r="Q21" s="36">
        <f>Table24[[#This Row],[SI-]]/Table24[[#This Row],[SI+]]+Table24[[#This Row],[SI-]]</f>
        <v>0.7863425780347999</v>
      </c>
      <c r="R21" s="36">
        <f>RANK(Table24[[#This Row],[PI]],Table24[PI],0)</f>
        <v>2</v>
      </c>
    </row>
    <row r="22" spans="10:18" x14ac:dyDescent="0.3">
      <c r="J22" s="16" t="s">
        <v>8</v>
      </c>
      <c r="K22" s="16">
        <f t="shared" si="3"/>
        <v>6.7030529900098765E-2</v>
      </c>
      <c r="L22" s="16">
        <f t="shared" si="0"/>
        <v>6.6681885650416647E-2</v>
      </c>
      <c r="M22" s="16">
        <f t="shared" si="1"/>
        <v>6.3039230250950706E-2</v>
      </c>
      <c r="N22" s="16">
        <f t="shared" si="2"/>
        <v>3.9235960225101972E-2</v>
      </c>
      <c r="O22" s="36">
        <f>SQRT(POWER($K$26-Table24[[#This Row],[Price]],2) + POWER($L$26-Table24[[#This Row],[Storage]],2)+ POWER($M$26-Table24[[#This Row],[Camera]],2) + POWER($N$26-Table24[[#This Row],[Looks]], 2))</f>
        <v>0.2998858416730395</v>
      </c>
      <c r="P22" s="36">
        <f>SQRT(POWER($K$27-Table24[[#This Row],[Price]],2) + POWER($L$27-Table24[[#This Row],[Storage]],2)+ POWER($M$27-Table24[[#This Row],[Camera]],2) + POWER($N$27-Table24[[#This Row],[Looks]], 2))</f>
        <v>4.5881418963801733E-2</v>
      </c>
      <c r="Q22" s="36">
        <f>Table24[[#This Row],[SI-]]/Table24[[#This Row],[SI+]]+Table24[[#This Row],[SI-]]</f>
        <v>0.19887770150862916</v>
      </c>
      <c r="R22" s="36">
        <f>RANK(Table24[[#This Row],[PI]],Table24[PI],0)</f>
        <v>5</v>
      </c>
    </row>
    <row r="23" spans="10:18" x14ac:dyDescent="0.3">
      <c r="J23" s="19" t="s">
        <v>10</v>
      </c>
      <c r="K23" s="19">
        <f t="shared" si="3"/>
        <v>0.33515264950049384</v>
      </c>
      <c r="L23" s="16">
        <f t="shared" si="0"/>
        <v>3.3340942825208324E-2</v>
      </c>
      <c r="M23" s="16">
        <f t="shared" si="1"/>
        <v>3.1519615125475353E-2</v>
      </c>
      <c r="N23" s="16">
        <f t="shared" si="2"/>
        <v>5.8853940337652955E-2</v>
      </c>
      <c r="O23" s="36">
        <f>SQRT(POWER($K$26-Table24[[#This Row],[Price]],2) + POWER($L$26-Table24[[#This Row],[Storage]],2)+ POWER($M$26-Table24[[#This Row],[Camera]],2) + POWER($N$26-Table24[[#This Row],[Looks]], 2))</f>
        <v>0.15844173615032842</v>
      </c>
      <c r="P23" s="36">
        <f>SQRT(POWER($K$27-Table24[[#This Row],[Price]],2) + POWER($L$27-Table24[[#This Row],[Storage]],2)+ POWER($M$27-Table24[[#This Row],[Camera]],2) + POWER($N$27-Table24[[#This Row],[Looks]], 2))</f>
        <v>0.26883886654035904</v>
      </c>
      <c r="Q23" s="36">
        <f>Table24[[#This Row],[SI-]]/Table24[[#This Row],[SI+]]+Table24[[#This Row],[SI-]]</f>
        <v>1.9656068588153652</v>
      </c>
      <c r="R23" s="36">
        <f>RANK(Table24[[#This Row],[PI]],Table24[PI],0)</f>
        <v>1</v>
      </c>
    </row>
    <row r="24" spans="10:18" x14ac:dyDescent="0.3">
      <c r="J24" s="25" t="s">
        <v>12</v>
      </c>
      <c r="K24" s="25">
        <f t="shared" si="3"/>
        <v>6.7030529900098765E-2</v>
      </c>
      <c r="L24" s="16">
        <f t="shared" si="0"/>
        <v>0.13336377130083329</v>
      </c>
      <c r="M24" s="16">
        <f t="shared" si="1"/>
        <v>0.11031865293916374</v>
      </c>
      <c r="N24" s="16">
        <f t="shared" si="2"/>
        <v>0.11770788067530591</v>
      </c>
      <c r="O24" s="37">
        <f>SQRT(POWER($K$26-Table24[[#This Row],[Price]],2) + POWER($L$26-Table24[[#This Row],[Storage]],2)+ POWER($M$26-Table24[[#This Row],[Camera]],2) + POWER($N$26-Table24[[#This Row],[Looks]], 2))</f>
        <v>0.26930040419041246</v>
      </c>
      <c r="P24" s="37">
        <f>SQRT(POWER($K$27-Table24[[#This Row],[Price]],2) + POWER($L$27-Table24[[#This Row],[Storage]],2)+ POWER($M$27-Table24[[#This Row],[Camera]],2) + POWER($N$27-Table24[[#This Row],[Looks]], 2))</f>
        <v>0.14957171148238732</v>
      </c>
      <c r="Q24" s="37">
        <f>Table24[[#This Row],[SI-]]/Table24[[#This Row],[SI+]]+Table24[[#This Row],[SI-]]</f>
        <v>0.70498012957236034</v>
      </c>
      <c r="R24" s="37">
        <f>RANK(Table24[[#This Row],[PI]],Table24[PI],0)</f>
        <v>3</v>
      </c>
    </row>
    <row r="26" spans="10:18" x14ac:dyDescent="0.3">
      <c r="J26" t="s">
        <v>56</v>
      </c>
      <c r="K26">
        <f>MAX(Table24[Price])</f>
        <v>0.33515264950049384</v>
      </c>
      <c r="L26">
        <f>MAX(Table24[Storage])</f>
        <v>0.13336377130083329</v>
      </c>
      <c r="M26">
        <f>MAX(Table24[Camera])</f>
        <v>0.12607846050190141</v>
      </c>
      <c r="N26">
        <f>MAX(Table24[Looks])</f>
        <v>0.13732586078785691</v>
      </c>
    </row>
    <row r="27" spans="10:18" x14ac:dyDescent="0.3">
      <c r="J27" t="s">
        <v>58</v>
      </c>
      <c r="K27">
        <f>MIN(Table24[Price])</f>
        <v>6.7030529900098765E-2</v>
      </c>
      <c r="L27">
        <f>MIN(Table24[Storage])</f>
        <v>3.3340942825208324E-2</v>
      </c>
      <c r="M27">
        <f>MIN(Table24[Camera])</f>
        <v>3.1519615125475353E-2</v>
      </c>
      <c r="N27">
        <f>MIN(Table24[Looks])</f>
        <v>3.9235960225101972E-2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33EA-A6ED-40F4-A959-CA1C556B0EB5}">
  <dimension ref="A2:S24"/>
  <sheetViews>
    <sheetView workbookViewId="0">
      <selection activeCell="F20" sqref="F20"/>
    </sheetView>
  </sheetViews>
  <sheetFormatPr defaultRowHeight="14.4" x14ac:dyDescent="0.3"/>
  <cols>
    <col min="1" max="1" width="20" bestFit="1" customWidth="1"/>
    <col min="9" max="9" width="16.88671875" customWidth="1"/>
    <col min="11" max="12" width="9.33203125" customWidth="1"/>
  </cols>
  <sheetData>
    <row r="2" spans="1:19" x14ac:dyDescent="0.3">
      <c r="A2" t="str">
        <f>'MAIN SHEET'!I2</f>
        <v>CAT</v>
      </c>
      <c r="B2" t="str">
        <f>'MAIN SHEET'!J2</f>
        <v>Price</v>
      </c>
      <c r="C2" t="str">
        <f>'MAIN SHEET'!K2</f>
        <v>Storage</v>
      </c>
      <c r="D2" t="str">
        <f>'MAIN SHEET'!L2</f>
        <v>Camera</v>
      </c>
      <c r="E2" t="str">
        <f>'MAIN SHEET'!M2</f>
        <v>Looks</v>
      </c>
      <c r="G2" t="s">
        <v>71</v>
      </c>
      <c r="P2" t="s">
        <v>67</v>
      </c>
      <c r="Q2" t="s">
        <v>68</v>
      </c>
      <c r="R2" t="s">
        <v>69</v>
      </c>
      <c r="S2" t="s">
        <v>70</v>
      </c>
    </row>
    <row r="3" spans="1:19" x14ac:dyDescent="0.3">
      <c r="A3" t="str">
        <f>'MAIN SHEET'!I3</f>
        <v>WT (your weightage)</v>
      </c>
      <c r="B3">
        <f>'MAIN SHEET'!J3</f>
        <v>0.1</v>
      </c>
      <c r="C3">
        <f>'MAIN SHEET'!K3</f>
        <v>0.5</v>
      </c>
      <c r="D3">
        <f>'MAIN SHEET'!L3</f>
        <v>0.3</v>
      </c>
      <c r="E3">
        <f>'MAIN SHEET'!M3</f>
        <v>0.1</v>
      </c>
      <c r="G3">
        <v>0.5</v>
      </c>
      <c r="P3">
        <f>MIN(Table30[RI])</f>
        <v>7.4999999999999997E-2</v>
      </c>
      <c r="Q3">
        <f>MIN(Table30[SI])</f>
        <v>0.12833333333333333</v>
      </c>
      <c r="R3">
        <f>MAX(Table30[RI])</f>
        <v>0.45</v>
      </c>
      <c r="S3">
        <f>MAX(Table30[SI])</f>
        <v>1.2050000000000001</v>
      </c>
    </row>
    <row r="4" spans="1:19" x14ac:dyDescent="0.3">
      <c r="A4" t="str">
        <f>'MAIN SHEET'!I4</f>
        <v>WT (system weightage)</v>
      </c>
      <c r="B4" s="1">
        <f>'MAIN SHEET'!J4</f>
        <v>0.39121086917615311</v>
      </c>
      <c r="C4" s="1">
        <f>'MAIN SHEET'!K4</f>
        <v>0.21348619910295424</v>
      </c>
      <c r="D4" s="1">
        <f>'MAIN SHEET'!L4</f>
        <v>0.19237296750781807</v>
      </c>
      <c r="E4" s="1">
        <f>'MAIN SHEET'!M4</f>
        <v>0.20292996421307458</v>
      </c>
      <c r="I4" t="s">
        <v>45</v>
      </c>
    </row>
    <row r="6" spans="1:19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I6" t="s">
        <v>0</v>
      </c>
      <c r="J6" t="s">
        <v>1</v>
      </c>
      <c r="K6" t="s">
        <v>2</v>
      </c>
      <c r="L6" t="s">
        <v>3</v>
      </c>
      <c r="M6" t="s">
        <v>4</v>
      </c>
      <c r="N6" t="s">
        <v>65</v>
      </c>
      <c r="O6" t="s">
        <v>66</v>
      </c>
      <c r="P6" t="s">
        <v>72</v>
      </c>
      <c r="Q6" t="s">
        <v>50</v>
      </c>
    </row>
    <row r="7" spans="1:19" x14ac:dyDescent="0.3">
      <c r="A7" s="11" t="str">
        <f>'MAIN SHEET'!A4</f>
        <v>Mobile 1</v>
      </c>
      <c r="B7" s="11">
        <f>'MAIN SHEET'!B4</f>
        <v>400</v>
      </c>
      <c r="C7" s="11">
        <f>'MAIN SHEET'!C4</f>
        <v>16</v>
      </c>
      <c r="D7" s="11">
        <f>'MAIN SHEET'!D4</f>
        <v>20</v>
      </c>
      <c r="E7" s="11">
        <f>'MAIN SHEET'!F4</f>
        <v>7</v>
      </c>
      <c r="I7" s="11" t="str">
        <f>Table57[[#This Row],[Atribute/ criteria]]</f>
        <v>Mobile 1</v>
      </c>
      <c r="J7" s="11">
        <f>$B$3*($B$13-Table5727[[#This Row],[Price]])/($B$13-$B$14)</f>
        <v>0.1</v>
      </c>
      <c r="K7" s="11">
        <f>$C$3*($C$13-Table5727[[#This Row],[Storage]])/($C$13-$C$15)</f>
        <v>0.25</v>
      </c>
      <c r="L7" s="11">
        <f>$D$3*($D$13-Table5727[[#This Row],[Camera]])/($D$13-$D$14)</f>
        <v>0.3</v>
      </c>
      <c r="M7" s="11">
        <f>$E$3*($E$13-Table5727[[#This Row],[Looks]])/($E$13-$E$14)</f>
        <v>0</v>
      </c>
      <c r="N7" s="11">
        <f>SUM(Table30[[#This Row],[Price]:[Looks]])</f>
        <v>0.64999999999999991</v>
      </c>
      <c r="O7" s="11">
        <f>MAX(Table30[[#This Row],[Price]:[Looks]])</f>
        <v>0.3</v>
      </c>
      <c r="P7" s="11">
        <f>$G$3*(Table30[[#This Row],[SI]]-$Q$3)/($S$3-$Q$3) + (1-$G$3)*(Table30[[#This Row],[RI]]-$P$3)/($R$3-$P$3)</f>
        <v>0.5422600619195046</v>
      </c>
      <c r="Q7" s="11">
        <f>RANK(Table30[[#This Row],[Qi]],Table30[Qi],1)</f>
        <v>3</v>
      </c>
    </row>
    <row r="8" spans="1:19" x14ac:dyDescent="0.3">
      <c r="A8" s="11" t="str">
        <f>'MAIN SHEET'!A5</f>
        <v>Mobile 2</v>
      </c>
      <c r="B8" s="11">
        <f>'MAIN SHEET'!B5</f>
        <v>350</v>
      </c>
      <c r="C8" s="11">
        <f>'MAIN SHEET'!C5</f>
        <v>32</v>
      </c>
      <c r="D8" s="11">
        <f>'MAIN SHEET'!D5</f>
        <v>40</v>
      </c>
      <c r="E8" s="11">
        <f>'MAIN SHEET'!F5</f>
        <v>3</v>
      </c>
      <c r="I8" s="11" t="str">
        <f>Table57[[#This Row],[Atribute/ criteria]]</f>
        <v>Mobile 2</v>
      </c>
      <c r="J8" s="11">
        <f>$B$3*($B$13-Table5727[[#This Row],[Price]])/($B$13-$B$14)</f>
        <v>8.3333333333333329E-2</v>
      </c>
      <c r="K8" s="11">
        <f>$C$3*($C$13-Table5727[[#This Row],[Storage]])/($C$13-$C$15)</f>
        <v>0</v>
      </c>
      <c r="L8" s="11">
        <f>$D$3*($D$13-Table5727[[#This Row],[Camera]])/($D$13-$D$14)</f>
        <v>0</v>
      </c>
      <c r="M8" s="11">
        <f>$E$3*($E$13-Table5727[[#This Row],[Looks]])/($E$13-$E$14)</f>
        <v>0.08</v>
      </c>
      <c r="N8" s="11">
        <f>SUM(Table30[[#This Row],[Price]:[Looks]])</f>
        <v>0.16333333333333333</v>
      </c>
      <c r="O8" s="11">
        <f>MAX(Table30[[#This Row],[Price]:[Looks]])</f>
        <v>8.3333333333333329E-2</v>
      </c>
      <c r="P8" s="11">
        <f>$G$3*(Table30[[#This Row],[SI]]-$Q$3)/($S$3-$Q$3) + (1-$G$3)*(Table30[[#This Row],[RI]]-$P$3)/($R$3-$P$3)</f>
        <v>2.7364981080151354E-2</v>
      </c>
      <c r="Q8" s="11">
        <f>RANK(Table30[[#This Row],[Qi]],Table30[Qi],1)</f>
        <v>2</v>
      </c>
    </row>
    <row r="9" spans="1:19" x14ac:dyDescent="0.3">
      <c r="A9" s="11" t="str">
        <f>'MAIN SHEET'!A6</f>
        <v>Mobile 3</v>
      </c>
      <c r="B9" s="11">
        <f>'MAIN SHEET'!B6</f>
        <v>200</v>
      </c>
      <c r="C9" s="11">
        <f>'MAIN SHEET'!C6</f>
        <v>16</v>
      </c>
      <c r="D9" s="11">
        <f>'MAIN SHEET'!D6</f>
        <v>20</v>
      </c>
      <c r="E9" s="11">
        <f>'MAIN SHEET'!F6</f>
        <v>2</v>
      </c>
      <c r="I9" s="11" t="str">
        <f>Table57[[#This Row],[Atribute/ criteria]]</f>
        <v>Mobile 3</v>
      </c>
      <c r="J9" s="11">
        <f>$B$3*($B$13-Table5727[[#This Row],[Price]])/($B$13-$B$14)</f>
        <v>3.3333333333333333E-2</v>
      </c>
      <c r="K9" s="11">
        <f>$C$3*($C$13-Table5727[[#This Row],[Storage]])/($C$13-$C$15)</f>
        <v>0.25</v>
      </c>
      <c r="L9" s="11">
        <f>$D$3*($D$13-Table5727[[#This Row],[Camera]])/($D$13-$D$14)</f>
        <v>0.3</v>
      </c>
      <c r="M9" s="11">
        <f>$E$3*($E$13-Table5727[[#This Row],[Looks]])/($E$13-$E$14)</f>
        <v>0.1</v>
      </c>
      <c r="N9" s="11">
        <f>SUM(Table30[[#This Row],[Price]:[Looks]])</f>
        <v>0.68333333333333324</v>
      </c>
      <c r="O9" s="11">
        <f>MAX(Table30[[#This Row],[Price]:[Looks]])</f>
        <v>0.3</v>
      </c>
      <c r="P9" s="11">
        <f>$G$3*(Table30[[#This Row],[SI]]-$Q$3)/($S$3-$Q$3) + (1-$G$3)*(Table30[[#This Row],[RI]]-$P$3)/($R$3-$P$3)</f>
        <v>0.55773993808049527</v>
      </c>
      <c r="Q9" s="11">
        <f>RANK(Table30[[#This Row],[Qi]],Table30[Qi],1)</f>
        <v>4</v>
      </c>
    </row>
    <row r="10" spans="1:19" x14ac:dyDescent="0.3">
      <c r="A10" s="11" t="str">
        <f>'MAIN SHEET'!A7</f>
        <v>Mobile 4</v>
      </c>
      <c r="B10" s="11">
        <f>'MAIN SHEET'!B7</f>
        <v>1000</v>
      </c>
      <c r="C10" s="11">
        <f>'MAIN SHEET'!C7</f>
        <v>8</v>
      </c>
      <c r="D10" s="11">
        <f>'MAIN SHEET'!D7</f>
        <v>10</v>
      </c>
      <c r="E10" s="11">
        <f>'MAIN SHEET'!F7</f>
        <v>3</v>
      </c>
      <c r="I10" s="11" t="str">
        <f>Table57[[#This Row],[Atribute/ criteria]]</f>
        <v>Mobile 4</v>
      </c>
      <c r="J10" s="11">
        <f>$B$3*($B$13-Table5727[[#This Row],[Price]])/($B$13-$B$14)</f>
        <v>0.3</v>
      </c>
      <c r="K10" s="11">
        <f>$C$3*($C$13-Table5727[[#This Row],[Storage]])/($C$13-$C$15)</f>
        <v>0.375</v>
      </c>
      <c r="L10" s="11">
        <f>$D$3*($D$13-Table5727[[#This Row],[Camera]])/($D$13-$D$14)</f>
        <v>0.45</v>
      </c>
      <c r="M10" s="11">
        <f>$E$3*($E$13-Table5727[[#This Row],[Looks]])/($E$13-$E$14)</f>
        <v>0.08</v>
      </c>
      <c r="N10" s="11">
        <f>SUM(Table30[[#This Row],[Price]:[Looks]])</f>
        <v>1.2050000000000001</v>
      </c>
      <c r="O10" s="11">
        <f>MAX(Table30[[#This Row],[Price]:[Looks]])</f>
        <v>0.45</v>
      </c>
      <c r="P10" s="11">
        <f>$G$3*(Table30[[#This Row],[SI]]-$Q$3)/($S$3-$Q$3) + (1-$G$3)*(Table30[[#This Row],[RI]]-$P$3)/($R$3-$P$3)</f>
        <v>1</v>
      </c>
      <c r="Q10" s="11">
        <f>RANK(Table30[[#This Row],[Qi]],Table30[Qi],1)</f>
        <v>5</v>
      </c>
    </row>
    <row r="11" spans="1:19" x14ac:dyDescent="0.3">
      <c r="A11" s="11" t="str">
        <f>'MAIN SHEET'!A8</f>
        <v>Mobile 5</v>
      </c>
      <c r="B11" s="11">
        <f>'MAIN SHEET'!B8</f>
        <v>200</v>
      </c>
      <c r="C11" s="11">
        <f>'MAIN SHEET'!C8</f>
        <v>32</v>
      </c>
      <c r="D11" s="11">
        <f>'MAIN SHEET'!D8</f>
        <v>35</v>
      </c>
      <c r="E11" s="11">
        <f>'MAIN SHEET'!F8</f>
        <v>6</v>
      </c>
      <c r="I11" s="11" t="str">
        <f>Table57[[#This Row],[Atribute/ criteria]]</f>
        <v>Mobile 5</v>
      </c>
      <c r="J11" s="11">
        <f>$B$3*($B$13-Table5727[[#This Row],[Price]])/($B$13-$B$14)</f>
        <v>3.3333333333333333E-2</v>
      </c>
      <c r="K11" s="11">
        <f>$C$3*($C$13-Table5727[[#This Row],[Storage]])/($C$13-$C$15)</f>
        <v>0</v>
      </c>
      <c r="L11" s="11">
        <f>$D$3*($D$13-Table5727[[#This Row],[Camera]])/($D$13-$D$14)</f>
        <v>7.4999999999999997E-2</v>
      </c>
      <c r="M11" s="11">
        <f>$E$3*($E$13-Table5727[[#This Row],[Looks]])/($E$13-$E$14)</f>
        <v>0.02</v>
      </c>
      <c r="N11" s="11">
        <f>SUM(Table30[[#This Row],[Price]:[Looks]])</f>
        <v>0.12833333333333333</v>
      </c>
      <c r="O11" s="11">
        <f>MAX(Table30[[#This Row],[Price]:[Looks]])</f>
        <v>7.4999999999999997E-2</v>
      </c>
      <c r="P11" s="11">
        <f>$G$3*(Table30[[#This Row],[SI]]-$Q$3)/($S$3-$Q$3) + (1-$G$3)*(Table30[[#This Row],[RI]]-$P$3)/($R$3-$P$3)</f>
        <v>0</v>
      </c>
      <c r="Q11" s="11">
        <f>RANK(Table30[[#This Row],[Qi]],Table30[Qi],1)</f>
        <v>1</v>
      </c>
    </row>
    <row r="13" spans="1:19" x14ac:dyDescent="0.3">
      <c r="A13" t="s">
        <v>63</v>
      </c>
      <c r="B13">
        <f>IF('MAIN SHEET'!B2 = Normalisation!J1, Normalisation!B9,Normalisation!B8)</f>
        <v>100</v>
      </c>
      <c r="C13">
        <f>IF('MAIN SHEET'!C2 = Normalisation!J1, Normalisation!C9,Normalisation!C8)</f>
        <v>32</v>
      </c>
      <c r="D13">
        <f>IF('MAIN SHEET'!D2 = Normalisation!J1, Normalisation!D9,Normalisation!D8)</f>
        <v>40</v>
      </c>
      <c r="E13">
        <f>IF('MAIN SHEET'!E2 = Normalisation!J1, Normalisation!E9,Normalisation!E8)</f>
        <v>7</v>
      </c>
    </row>
    <row r="14" spans="1:19" x14ac:dyDescent="0.3">
      <c r="A14" t="s">
        <v>64</v>
      </c>
      <c r="B14">
        <f>IF('MAIN SHEET'!B2 = Normalisation!J1, Normalisation!B8,Normalisation!B9)</f>
        <v>400</v>
      </c>
      <c r="C14">
        <f>IF('MAIN SHEET'!C2 = Normalisation!J1, Normalisation!C8,Normalisation!C9)</f>
        <v>16</v>
      </c>
      <c r="D14">
        <f>IF('MAIN SHEET'!D2 = Normalisation!J1, Normalisation!D8,Normalisation!D9)</f>
        <v>20</v>
      </c>
      <c r="E14">
        <f>IF('MAIN SHEET'!E2 = Normalisation!J1, Normalisation!E8,Normalisation!E9)</f>
        <v>2</v>
      </c>
    </row>
    <row r="15" spans="1:19" x14ac:dyDescent="0.3">
      <c r="P15" t="s">
        <v>67</v>
      </c>
      <c r="Q15" t="s">
        <v>68</v>
      </c>
      <c r="R15" t="s">
        <v>69</v>
      </c>
      <c r="S15" t="s">
        <v>70</v>
      </c>
    </row>
    <row r="16" spans="1:19" x14ac:dyDescent="0.3">
      <c r="P16">
        <f>MIN(Table31[RI])</f>
        <v>0.13040362305871769</v>
      </c>
      <c r="Q16">
        <f>MIN(Table31[SI])</f>
        <v>0.21908285777828712</v>
      </c>
      <c r="R16">
        <f>MAX(Table31[RI])</f>
        <v>1.1736326075284593</v>
      </c>
      <c r="S16">
        <f>MAX(Table31[SI])</f>
        <v>1.9447653288150777</v>
      </c>
    </row>
    <row r="17" spans="9:17" x14ac:dyDescent="0.3">
      <c r="I17" t="s">
        <v>46</v>
      </c>
    </row>
    <row r="19" spans="9:17" x14ac:dyDescent="0.3">
      <c r="I19" t="s">
        <v>0</v>
      </c>
      <c r="J19" t="s">
        <v>1</v>
      </c>
      <c r="K19" t="s">
        <v>2</v>
      </c>
      <c r="L19" t="s">
        <v>3</v>
      </c>
      <c r="M19" t="s">
        <v>4</v>
      </c>
      <c r="N19" t="s">
        <v>65</v>
      </c>
      <c r="O19" t="s">
        <v>66</v>
      </c>
      <c r="P19" t="s">
        <v>73</v>
      </c>
      <c r="Q19" t="s">
        <v>50</v>
      </c>
    </row>
    <row r="20" spans="9:17" x14ac:dyDescent="0.3">
      <c r="I20" s="11" t="str">
        <f>I7</f>
        <v>Mobile 1</v>
      </c>
      <c r="J20" s="11">
        <f>$B$4*($B$13-B7)/($B$13-$B$14)</f>
        <v>0.39121086917615311</v>
      </c>
      <c r="K20" s="11">
        <f>$C$4*($C$13-C7)/($C$13-$C$14)</f>
        <v>0.21348619910295424</v>
      </c>
      <c r="L20" s="11">
        <f>$D$4*($D$13-D7)/($D$13-$D$14)</f>
        <v>0.19237296750781807</v>
      </c>
      <c r="M20" s="11">
        <f>$E$4*($E$13-E7)/($E$13-$E$14)</f>
        <v>0</v>
      </c>
      <c r="N20" s="11">
        <f>SUM(Table31[[#This Row],[Price]:[Looks]])</f>
        <v>0.79707003578692537</v>
      </c>
      <c r="O20" s="11">
        <f>MAX(Table31[[#This Row],[Price]:[Looks]])</f>
        <v>0.39121086917615311</v>
      </c>
      <c r="P20" s="11">
        <f>$G$3*(Table31[[#This Row],[SI]]-$Q$16)/($S$16-$Q$16) + (1 - $G$3) * (Table31[[#This Row],[RI]]-$P$16)/($R$16-$P$16)</f>
        <v>0.29246625978688406</v>
      </c>
      <c r="Q20" s="11">
        <f>RANK(Table31[[#This Row],[QI]],Table31[QI],1)</f>
        <v>4</v>
      </c>
    </row>
    <row r="21" spans="9:17" x14ac:dyDescent="0.3">
      <c r="I21" s="11" t="str">
        <f>I8</f>
        <v>Mobile 2</v>
      </c>
      <c r="J21" s="11">
        <f>$B$4*($B$13-B8)/($B$13-$B$14)</f>
        <v>0.32600905764679422</v>
      </c>
      <c r="K21" s="11">
        <f>$C$4*($C$13-C8)/($C$13-$C$14)</f>
        <v>0</v>
      </c>
      <c r="L21" s="11">
        <f>$D$4*($D$13-D8)/($D$13-$D$14)</f>
        <v>0</v>
      </c>
      <c r="M21" s="11">
        <f>$E$4*($E$13-E8)/($E$13-$E$14)</f>
        <v>0.16234397137045967</v>
      </c>
      <c r="N21" s="11">
        <f>SUM(Table31[[#This Row],[Price]:[Looks]])</f>
        <v>0.48835302901725386</v>
      </c>
      <c r="O21" s="11">
        <f>MAX(Table31[[#This Row],[Price]:[Looks]])</f>
        <v>0.32600905764679422</v>
      </c>
      <c r="P21" s="11">
        <f>$G$3*(Table31[[#This Row],[SI]]-$Q$16)/($S$16-$Q$16) + (1 - $G$3) * (Table31[[#This Row],[RI]]-$P$16)/($R$16-$P$16)</f>
        <v>0.17176845813418651</v>
      </c>
      <c r="Q21" s="11">
        <f>RANK(Table31[[#This Row],[QI]],Table31[QI],1)</f>
        <v>2</v>
      </c>
    </row>
    <row r="22" spans="9:17" x14ac:dyDescent="0.3">
      <c r="I22" s="11" t="str">
        <f>I9</f>
        <v>Mobile 3</v>
      </c>
      <c r="J22" s="11">
        <f>$B$4*($B$13-B9)/($B$13-$B$14)</f>
        <v>0.13040362305871769</v>
      </c>
      <c r="K22" s="11">
        <f>$C$4*($C$13-C9)/($C$13-$C$14)</f>
        <v>0.21348619910295424</v>
      </c>
      <c r="L22" s="11">
        <f>$D$4*($D$13-D9)/($D$13-$D$14)</f>
        <v>0.19237296750781807</v>
      </c>
      <c r="M22" s="11">
        <f>$E$4*($E$13-E9)/($E$13-$E$14)</f>
        <v>0.20292996421307458</v>
      </c>
      <c r="N22" s="11">
        <f>SUM(Table31[[#This Row],[Price]:[Looks]])</f>
        <v>0.73919275388256467</v>
      </c>
      <c r="O22" s="11">
        <f>MAX(Table31[[#This Row],[Price]:[Looks]])</f>
        <v>0.21348619910295424</v>
      </c>
      <c r="P22" s="11">
        <f>$G$3*(Table31[[#This Row],[SI]]-$Q$16)/($S$16-$Q$16) + (1 - $G$3) * (Table31[[#This Row],[RI]]-$P$16)/($R$16-$P$16)</f>
        <v>0.19051678420591323</v>
      </c>
      <c r="Q22" s="11">
        <f>RANK(Table31[[#This Row],[QI]],Table31[QI],1)</f>
        <v>3</v>
      </c>
    </row>
    <row r="23" spans="9:17" x14ac:dyDescent="0.3">
      <c r="I23" s="11" t="str">
        <f>I10</f>
        <v>Mobile 4</v>
      </c>
      <c r="J23" s="11">
        <f>$B$4*($B$13-B10)/($B$13-$B$14)</f>
        <v>1.1736326075284593</v>
      </c>
      <c r="K23" s="11">
        <f>$C$4*($C$13-C10)/($C$13-$C$14)</f>
        <v>0.32022929865443139</v>
      </c>
      <c r="L23" s="11">
        <f>$D$4*($D$13-D10)/($D$13-$D$14)</f>
        <v>0.28855945126172711</v>
      </c>
      <c r="M23" s="11">
        <f>$E$4*($E$13-E10)/($E$13-$E$14)</f>
        <v>0.16234397137045967</v>
      </c>
      <c r="N23" s="11">
        <f>SUM(Table31[[#This Row],[Price]:[Looks]])</f>
        <v>1.9447653288150777</v>
      </c>
      <c r="O23" s="11">
        <f>MAX(Table31[[#This Row],[Price]:[Looks]])</f>
        <v>1.1736326075284593</v>
      </c>
      <c r="P23" s="11">
        <f>$G$3*(Table31[[#This Row],[SI]]-$Q$16)/($S$16-$Q$16) + (1 - $G$3) * (Table31[[#This Row],[RI]]-$P$16)/($R$16-$P$16)</f>
        <v>1</v>
      </c>
      <c r="Q23" s="11">
        <f>RANK(Table31[[#This Row],[QI]],Table31[QI],1)</f>
        <v>5</v>
      </c>
    </row>
    <row r="24" spans="9:17" x14ac:dyDescent="0.3">
      <c r="I24" s="11" t="str">
        <f>I11</f>
        <v>Mobile 5</v>
      </c>
      <c r="J24" s="11">
        <f>$B$4*($B$13-B11)/($B$13-$B$14)</f>
        <v>0.13040362305871769</v>
      </c>
      <c r="K24" s="11">
        <f>$C$4*($C$13-C11)/($C$13-$C$14)</f>
        <v>0</v>
      </c>
      <c r="L24" s="11">
        <f>$D$4*($D$13-D11)/($D$13-$D$14)</f>
        <v>4.8093241876954518E-2</v>
      </c>
      <c r="M24" s="11">
        <f>$E$4*($E$13-E11)/($E$13-$E$14)</f>
        <v>4.0585992842614917E-2</v>
      </c>
      <c r="N24" s="11">
        <f>SUM(Table31[[#This Row],[Price]:[Looks]])</f>
        <v>0.21908285777828712</v>
      </c>
      <c r="O24" s="11">
        <f>MAX(Table31[[#This Row],[Price]:[Looks]])</f>
        <v>0.13040362305871769</v>
      </c>
      <c r="P24" s="11">
        <f>$G$3*(Table31[[#This Row],[SI]]-$Q$16)/($S$16-$Q$16) + (1 - $G$3) * (Table31[[#This Row],[RI]]-$P$16)/($R$16-$P$16)</f>
        <v>0</v>
      </c>
      <c r="Q24" s="11">
        <f>RANK(Table31[[#This Row],[QI]],Table31[QI],1)</f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C466-A77F-459B-A5D7-9E652523D243}">
  <dimension ref="A5:J22"/>
  <sheetViews>
    <sheetView workbookViewId="0">
      <selection activeCell="L27" sqref="L27"/>
    </sheetView>
  </sheetViews>
  <sheetFormatPr defaultRowHeight="14.4" x14ac:dyDescent="0.3"/>
  <cols>
    <col min="1" max="1" width="17.33203125" bestFit="1" customWidth="1"/>
    <col min="3" max="3" width="9.44140625" customWidth="1"/>
    <col min="4" max="4" width="10.77734375" bestFit="1" customWidth="1"/>
    <col min="5" max="5" width="9.21875" bestFit="1" customWidth="1"/>
    <col min="9" max="9" width="11.5546875" bestFit="1" customWidth="1"/>
  </cols>
  <sheetData>
    <row r="5" spans="1:10" x14ac:dyDescent="0.3">
      <c r="A5" t="s">
        <v>48</v>
      </c>
    </row>
    <row r="6" spans="1:10" x14ac:dyDescent="0.3">
      <c r="B6">
        <v>0.2</v>
      </c>
      <c r="G6">
        <v>0.5</v>
      </c>
      <c r="H6">
        <v>0.5</v>
      </c>
    </row>
    <row r="7" spans="1:10" x14ac:dyDescent="0.3">
      <c r="A7" t="s">
        <v>0</v>
      </c>
      <c r="B7" t="s">
        <v>44</v>
      </c>
      <c r="C7" t="s">
        <v>49</v>
      </c>
      <c r="D7" t="s">
        <v>52</v>
      </c>
      <c r="E7" t="s">
        <v>74</v>
      </c>
      <c r="F7" t="s">
        <v>75</v>
      </c>
      <c r="G7" t="s">
        <v>76</v>
      </c>
      <c r="H7" t="s">
        <v>77</v>
      </c>
      <c r="I7" t="s">
        <v>78</v>
      </c>
      <c r="J7" t="s">
        <v>50</v>
      </c>
    </row>
    <row r="8" spans="1:10" x14ac:dyDescent="0.3">
      <c r="A8" s="11" t="str">
        <f>'MAIN SHEET'!A4</f>
        <v>Mobile 1</v>
      </c>
      <c r="B8" s="11">
        <f>WSM!N7</f>
        <v>4</v>
      </c>
      <c r="C8" s="11">
        <f>WPM!N7</f>
        <v>4</v>
      </c>
      <c r="D8" s="11">
        <f>WASPAS!M7</f>
        <v>4</v>
      </c>
      <c r="E8" s="11">
        <f>TOPSIS!R7</f>
        <v>3</v>
      </c>
      <c r="F8" s="11">
        <f>VIKOR!Q7</f>
        <v>3</v>
      </c>
      <c r="G8" s="11">
        <f>SUM(Table5733[[#This Row],[WSM]:[VIKOR]]) * $B$6</f>
        <v>3.6</v>
      </c>
      <c r="H8" s="11">
        <f>Table5733[[#This Row],[WSM]]^$B$6+Table5733[[#This Row],[WPM]]^$B$6+Table5733[[#This Row],[WASPAS]]^$B$6+Table5733[[#This Row],[TOPSIS]]^$B$6 +Table5733[[#This Row],[VIKOR]]^$B$6</f>
        <v>6.4499856115497174</v>
      </c>
      <c r="I8" s="11">
        <f>Table5733[[#This Row],[WSM2]]*$G$6+Table5733[[#This Row],[WPM2]]*$H$6</f>
        <v>5.0249928057748585</v>
      </c>
      <c r="J8" s="11">
        <f>RANK(Table5733[[#This Row],[WASPAS2]],Table5733[WASPAS2],1)</f>
        <v>4</v>
      </c>
    </row>
    <row r="9" spans="1:10" x14ac:dyDescent="0.3">
      <c r="A9" s="11" t="str">
        <f>'MAIN SHEET'!A5</f>
        <v>Mobile 2</v>
      </c>
      <c r="B9" s="11">
        <f>WSM!N8</f>
        <v>2</v>
      </c>
      <c r="C9" s="11">
        <f>WPM!N8</f>
        <v>2</v>
      </c>
      <c r="D9" s="11">
        <f>WASPAS!M8</f>
        <v>2</v>
      </c>
      <c r="E9" s="11">
        <f>TOPSIS!R8</f>
        <v>1</v>
      </c>
      <c r="F9" s="11">
        <f>VIKOR!Q8</f>
        <v>2</v>
      </c>
      <c r="G9" s="11">
        <f>SUM(Table5733[[#This Row],[WSM]:[VIKOR]]) * $B$6</f>
        <v>1.8</v>
      </c>
      <c r="H9" s="11">
        <f>Table5733[[#This Row],[WSM]]^$B$6+Table5733[[#This Row],[WPM]]^$B$6+Table5733[[#This Row],[WASPAS]]^$B$6+Table5733[[#This Row],[TOPSIS]]^$B$6 +Table5733[[#This Row],[VIKOR]]^$B$6</f>
        <v>5.5947934199881404</v>
      </c>
      <c r="I9" s="11">
        <f>Table5733[[#This Row],[WSM2]]*$G$6+Table5733[[#This Row],[WPM2]]*$H$6</f>
        <v>3.6973967099940701</v>
      </c>
      <c r="J9" s="11">
        <f>RANK(Table5733[[#This Row],[WASPAS2]],Table5733[WASPAS2],1)</f>
        <v>1</v>
      </c>
    </row>
    <row r="10" spans="1:10" x14ac:dyDescent="0.3">
      <c r="A10" s="11" t="str">
        <f>'MAIN SHEET'!A6</f>
        <v>Mobile 3</v>
      </c>
      <c r="B10" s="11">
        <f>WSM!N9</f>
        <v>5</v>
      </c>
      <c r="C10" s="11">
        <f>WPM!N9</f>
        <v>5</v>
      </c>
      <c r="D10" s="11">
        <f>WASPAS!M9</f>
        <v>5</v>
      </c>
      <c r="E10" s="11">
        <f>TOPSIS!R9</f>
        <v>4</v>
      </c>
      <c r="F10" s="11">
        <f>VIKOR!Q9</f>
        <v>4</v>
      </c>
      <c r="G10" s="11">
        <f>SUM(Table5733[[#This Row],[WSM]:[VIKOR]]) * $B$6</f>
        <v>4.6000000000000005</v>
      </c>
      <c r="H10" s="11">
        <f>Table5733[[#This Row],[WSM]]^$B$6+Table5733[[#This Row],[WPM]]^$B$6+Table5733[[#This Row],[WASPAS]]^$B$6+Table5733[[#This Row],[TOPSIS]]^$B$6 +Table5733[[#This Row],[VIKOR]]^$B$6</f>
        <v>6.7782048059294331</v>
      </c>
      <c r="I10" s="11">
        <f>Table5733[[#This Row],[WSM2]]*$G$6+Table5733[[#This Row],[WPM2]]*$H$6</f>
        <v>5.6891024029647168</v>
      </c>
      <c r="J10" s="11">
        <f>RANK(Table5733[[#This Row],[WASPAS2]],Table5733[WASPAS2],1)</f>
        <v>5</v>
      </c>
    </row>
    <row r="11" spans="1:10" x14ac:dyDescent="0.3">
      <c r="A11" s="11" t="str">
        <f>'MAIN SHEET'!A7</f>
        <v>Mobile 4</v>
      </c>
      <c r="B11" s="11">
        <f>WSM!N10</f>
        <v>1</v>
      </c>
      <c r="C11" s="11">
        <f>WPM!N10</f>
        <v>1</v>
      </c>
      <c r="D11" s="11">
        <f>WASPAS!M10</f>
        <v>1</v>
      </c>
      <c r="E11" s="11">
        <f>TOPSIS!R10</f>
        <v>5</v>
      </c>
      <c r="F11" s="11">
        <f>VIKOR!Q10</f>
        <v>5</v>
      </c>
      <c r="G11" s="11">
        <f>SUM(Table5733[[#This Row],[WSM]:[VIKOR]]) * $B$6</f>
        <v>2.6</v>
      </c>
      <c r="H11" s="11">
        <f>Table5733[[#This Row],[WSM]]^$B$6+Table5733[[#This Row],[WPM]]^$B$6+Table5733[[#This Row],[WASPAS]]^$B$6+Table5733[[#This Row],[TOPSIS]]^$B$6 +Table5733[[#This Row],[VIKOR]]^$B$6</f>
        <v>5.7594593229224298</v>
      </c>
      <c r="I11" s="11">
        <f>Table5733[[#This Row],[WSM2]]*$G$6+Table5733[[#This Row],[WPM2]]*$H$6</f>
        <v>4.1797296614612147</v>
      </c>
      <c r="J11" s="11">
        <f>RANK(Table5733[[#This Row],[WASPAS2]],Table5733[WASPAS2],1)</f>
        <v>3</v>
      </c>
    </row>
    <row r="12" spans="1:10" x14ac:dyDescent="0.3">
      <c r="A12" s="11" t="str">
        <f>'MAIN SHEET'!A8</f>
        <v>Mobile 5</v>
      </c>
      <c r="B12" s="11">
        <f>WSM!N11</f>
        <v>3</v>
      </c>
      <c r="C12" s="11">
        <f>WPM!N11</f>
        <v>3</v>
      </c>
      <c r="D12" s="11">
        <f>WASPAS!M11</f>
        <v>3</v>
      </c>
      <c r="E12" s="11">
        <f>TOPSIS!R11</f>
        <v>2</v>
      </c>
      <c r="F12" s="11">
        <f>VIKOR!Q11</f>
        <v>1</v>
      </c>
      <c r="G12" s="11">
        <f>SUM(Table5733[[#This Row],[WSM]:[VIKOR]]) * $B$6</f>
        <v>2.4000000000000004</v>
      </c>
      <c r="H12" s="11">
        <f>Table5733[[#This Row],[WSM]]^$B$6+Table5733[[#This Row],[WPM]]^$B$6+Table5733[[#This Row],[WASPAS]]^$B$6+Table5733[[#This Row],[TOPSIS]]^$B$6 +Table5733[[#This Row],[VIKOR]]^$B$6</f>
        <v>5.8858911738435875</v>
      </c>
      <c r="I12" s="11">
        <f>Table5733[[#This Row],[WSM2]]*$G$6+Table5733[[#This Row],[WPM2]]*$H$6</f>
        <v>4.1429455869217939</v>
      </c>
      <c r="J12" s="11">
        <f>RANK(Table5733[[#This Row],[WASPAS2]],Table5733[WASPAS2],1)</f>
        <v>2</v>
      </c>
    </row>
    <row r="15" spans="1:10" x14ac:dyDescent="0.3">
      <c r="A15" t="s">
        <v>46</v>
      </c>
    </row>
    <row r="16" spans="1:10" x14ac:dyDescent="0.3">
      <c r="B16">
        <v>0.2</v>
      </c>
      <c r="G16">
        <v>0.5</v>
      </c>
      <c r="H16">
        <v>0.5</v>
      </c>
    </row>
    <row r="17" spans="1:10" x14ac:dyDescent="0.3">
      <c r="A17" t="s">
        <v>0</v>
      </c>
      <c r="B17" t="s">
        <v>44</v>
      </c>
      <c r="C17" t="s">
        <v>49</v>
      </c>
      <c r="D17" t="s">
        <v>52</v>
      </c>
      <c r="E17" t="s">
        <v>74</v>
      </c>
      <c r="F17" t="s">
        <v>75</v>
      </c>
      <c r="G17" t="s">
        <v>76</v>
      </c>
      <c r="H17" t="s">
        <v>77</v>
      </c>
      <c r="I17" t="s">
        <v>78</v>
      </c>
      <c r="J17" t="s">
        <v>50</v>
      </c>
    </row>
    <row r="18" spans="1:10" x14ac:dyDescent="0.3">
      <c r="A18" s="11" t="str">
        <f>'MAIN SHEET'!A4</f>
        <v>Mobile 1</v>
      </c>
      <c r="B18" s="11">
        <f>WSM!N17</f>
        <v>4</v>
      </c>
      <c r="C18" s="11">
        <f>WPM!N17</f>
        <v>4</v>
      </c>
      <c r="D18" s="11">
        <f>WASPAS!M17</f>
        <v>4</v>
      </c>
      <c r="E18" s="11">
        <f>TOPSIS!R20</f>
        <v>4</v>
      </c>
      <c r="F18" s="11">
        <f>VIKOR!Q20</f>
        <v>4</v>
      </c>
      <c r="G18" s="11">
        <f>SUM(Table573334[[#This Row],[WSM]:[VIKOR]])*$B$16</f>
        <v>4</v>
      </c>
      <c r="H18" s="11">
        <f>Table573334[[#This Row],[WSM]]^$B$16+Table573334[[#This Row],[WPM]]^$B$16+Table573334[[#This Row],[WASPAS]]^$B$16+Table573334[[#This Row],[TOPSIS]]^$B$16 +Table573334[[#This Row],[VIKOR]]^$B$16</f>
        <v>6.597539553864471</v>
      </c>
      <c r="I18" s="11">
        <f>Table573334[[#This Row],[WSM2]]*$G$16+Table573334[[#This Row],[WPM2]]*$H$16</f>
        <v>5.2987697769322359</v>
      </c>
      <c r="J18" s="11">
        <f>RANK(Table573334[[#This Row],[WASPAS2]],Table573334[WASPAS2],1)</f>
        <v>4</v>
      </c>
    </row>
    <row r="19" spans="1:10" x14ac:dyDescent="0.3">
      <c r="A19" s="11" t="str">
        <f>'MAIN SHEET'!A5</f>
        <v>Mobile 2</v>
      </c>
      <c r="B19" s="11">
        <f>WSM!N18</f>
        <v>3</v>
      </c>
      <c r="C19" s="11">
        <f>WPM!N18</f>
        <v>3</v>
      </c>
      <c r="D19" s="11">
        <f>WASPAS!M18</f>
        <v>3</v>
      </c>
      <c r="E19" s="11">
        <f>TOPSIS!R21</f>
        <v>2</v>
      </c>
      <c r="F19" s="11">
        <f>VIKOR!Q21</f>
        <v>2</v>
      </c>
      <c r="G19" s="11">
        <f>SUM(Table573334[[#This Row],[WSM]:[VIKOR]])*$B$16</f>
        <v>2.6</v>
      </c>
      <c r="H19" s="11">
        <f>Table573334[[#This Row],[WSM]]^$B$16+Table573334[[#This Row],[WPM]]^$B$16+Table573334[[#This Row],[WASPAS]]^$B$16+Table573334[[#This Row],[TOPSIS]]^$B$16 +Table573334[[#This Row],[VIKOR]]^$B$16</f>
        <v>6.0345895288406224</v>
      </c>
      <c r="I19" s="11">
        <f>Table573334[[#This Row],[WSM2]]*$G$16+Table573334[[#This Row],[WPM2]]*$H$16</f>
        <v>4.3172947644203115</v>
      </c>
      <c r="J19" s="11">
        <f>RANK(Table573334[[#This Row],[WASPAS2]],Table573334[WASPAS2],1)</f>
        <v>3</v>
      </c>
    </row>
    <row r="20" spans="1:10" x14ac:dyDescent="0.3">
      <c r="A20" s="11" t="str">
        <f>'MAIN SHEET'!A6</f>
        <v>Mobile 3</v>
      </c>
      <c r="B20" s="11">
        <f>WSM!N19</f>
        <v>5</v>
      </c>
      <c r="C20" s="11">
        <f>WPM!N19</f>
        <v>5</v>
      </c>
      <c r="D20" s="11">
        <f>WASPAS!M19</f>
        <v>5</v>
      </c>
      <c r="E20" s="11">
        <f>TOPSIS!R22</f>
        <v>5</v>
      </c>
      <c r="F20" s="11">
        <f>VIKOR!Q22</f>
        <v>3</v>
      </c>
      <c r="G20" s="11">
        <f>SUM(Table573334[[#This Row],[WSM]:[VIKOR]])*$B$16</f>
        <v>4.6000000000000005</v>
      </c>
      <c r="H20" s="11">
        <f>Table573334[[#This Row],[WSM]]^$B$16+Table573334[[#This Row],[WPM]]^$B$16+Table573334[[#This Row],[WASPAS]]^$B$16+Table573334[[#This Row],[TOPSIS]]^$B$16 +Table573334[[#This Row],[VIKOR]]^$B$16</f>
        <v>6.7646495854603774</v>
      </c>
      <c r="I20" s="11">
        <f>Table573334[[#This Row],[WSM2]]*$G$16+Table573334[[#This Row],[WPM2]]*$H$16</f>
        <v>5.6823247927301885</v>
      </c>
      <c r="J20" s="11">
        <f>RANK(Table573334[[#This Row],[WASPAS2]],Table573334[WASPAS2],1)</f>
        <v>5</v>
      </c>
    </row>
    <row r="21" spans="1:10" x14ac:dyDescent="0.3">
      <c r="A21" s="11" t="str">
        <f>'MAIN SHEET'!A7</f>
        <v>Mobile 4</v>
      </c>
      <c r="B21" s="11">
        <f>WSM!N20</f>
        <v>1</v>
      </c>
      <c r="C21" s="11">
        <f>WPM!N20</f>
        <v>1</v>
      </c>
      <c r="D21" s="11">
        <f>WASPAS!M20</f>
        <v>1</v>
      </c>
      <c r="E21" s="11">
        <f>TOPSIS!R23</f>
        <v>1</v>
      </c>
      <c r="F21" s="11">
        <f>VIKOR!Q23</f>
        <v>5</v>
      </c>
      <c r="G21" s="11">
        <f>SUM(Table573334[[#This Row],[WSM]:[VIKOR]])*$B$16</f>
        <v>1.8</v>
      </c>
      <c r="H21" s="11">
        <f>Table573334[[#This Row],[WSM]]^$B$16+Table573334[[#This Row],[WPM]]^$B$16+Table573334[[#This Row],[WASPAS]]^$B$16+Table573334[[#This Row],[TOPSIS]]^$B$16 +Table573334[[#This Row],[VIKOR]]^$B$16</f>
        <v>5.3797296614612149</v>
      </c>
      <c r="I21" s="11">
        <f>Table573334[[#This Row],[WSM2]]*$G$16+Table573334[[#This Row],[WPM2]]*$H$16</f>
        <v>3.5898648307306074</v>
      </c>
      <c r="J21" s="11">
        <f>RANK(Table573334[[#This Row],[WASPAS2]],Table573334[WASPAS2],1)</f>
        <v>1</v>
      </c>
    </row>
    <row r="22" spans="1:10" x14ac:dyDescent="0.3">
      <c r="A22" s="11" t="str">
        <f>'MAIN SHEET'!A8</f>
        <v>Mobile 5</v>
      </c>
      <c r="B22" s="11">
        <f>WSM!N21</f>
        <v>2</v>
      </c>
      <c r="C22" s="11">
        <f>WPM!N21</f>
        <v>2</v>
      </c>
      <c r="D22" s="11">
        <f>WASPAS!M21</f>
        <v>2</v>
      </c>
      <c r="E22" s="11">
        <f>TOPSIS!R24</f>
        <v>3</v>
      </c>
      <c r="F22" s="11">
        <f>VIKOR!Q24</f>
        <v>1</v>
      </c>
      <c r="G22" s="11">
        <f>SUM(Table573334[[#This Row],[WSM]:[VIKOR]])*$B$16</f>
        <v>2</v>
      </c>
      <c r="H22" s="11">
        <f>Table573334[[#This Row],[WSM]]^$B$16+Table573334[[#This Row],[WPM]]^$B$16+Table573334[[#This Row],[WASPAS]]^$B$16+Table573334[[#This Row],[TOPSIS]]^$B$16 +Table573334[[#This Row],[VIKOR]]^$B$16</f>
        <v>5.6918260046066234</v>
      </c>
      <c r="I22" s="11">
        <f>Table573334[[#This Row],[WSM2]]*$G$16+Table573334[[#This Row],[WPM2]]*$H$16</f>
        <v>3.8459130023033117</v>
      </c>
      <c r="J22" s="11">
        <f>RANK(Table573334[[#This Row],[WASPAS2]],Table573334[WASPAS2],1)</f>
        <v>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 SHEET</vt:lpstr>
      <vt:lpstr>Normalisation</vt:lpstr>
      <vt:lpstr>Entropy</vt:lpstr>
      <vt:lpstr>WSM</vt:lpstr>
      <vt:lpstr>WPM</vt:lpstr>
      <vt:lpstr>WASPAS</vt:lpstr>
      <vt:lpstr>TOPSIS</vt:lpstr>
      <vt:lpstr>VIKOR</vt:lpstr>
      <vt:lpstr>Average of all methods</vt:lpstr>
      <vt:lpstr>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Kore</dc:creator>
  <cp:lastModifiedBy>Paras Kore</cp:lastModifiedBy>
  <dcterms:created xsi:type="dcterms:W3CDTF">2024-07-11T11:06:35Z</dcterms:created>
  <dcterms:modified xsi:type="dcterms:W3CDTF">2024-07-12T11:37:32Z</dcterms:modified>
</cp:coreProperties>
</file>