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EE568_FinalProject\EE568_FinalProject\"/>
    </mc:Choice>
  </mc:AlternateContent>
  <xr:revisionPtr revIDLastSave="0" documentId="13_ncr:1_{98C8E726-722D-4980-9E09-675EC9B0B7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kw 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3" i="1" l="1"/>
  <c r="C88" i="1"/>
  <c r="C87" i="1"/>
  <c r="C83" i="1"/>
  <c r="C86" i="1"/>
  <c r="C85" i="1"/>
  <c r="C81" i="1"/>
  <c r="C82" i="1"/>
  <c r="C72" i="1"/>
  <c r="C70" i="1"/>
  <c r="G32" i="1"/>
  <c r="G14" i="1"/>
  <c r="G23" i="1"/>
  <c r="G18" i="1"/>
  <c r="G22" i="1"/>
  <c r="G15" i="1"/>
  <c r="G16" i="1" s="1"/>
  <c r="G17" i="1"/>
  <c r="G6" i="1"/>
  <c r="G94" i="1"/>
  <c r="G87" i="1"/>
  <c r="C75" i="1"/>
  <c r="G58" i="1" l="1"/>
  <c r="G56" i="1"/>
  <c r="C65" i="1"/>
  <c r="C33" i="1"/>
  <c r="C34" i="1" s="1"/>
  <c r="C35" i="1" s="1"/>
  <c r="C4" i="1"/>
  <c r="G54" i="1"/>
  <c r="G52" i="1"/>
  <c r="G2" i="1"/>
  <c r="C24" i="1"/>
  <c r="C36" i="1" s="1"/>
  <c r="C61" i="1"/>
  <c r="C21" i="1"/>
  <c r="C14" i="1"/>
  <c r="C46" i="1" s="1"/>
  <c r="C6" i="1"/>
  <c r="C37" i="1" l="1"/>
  <c r="C38" i="1" s="1"/>
  <c r="C53" i="1"/>
  <c r="C15" i="1"/>
  <c r="C18" i="1" l="1"/>
  <c r="G92" i="1"/>
  <c r="C50" i="1"/>
  <c r="C48" i="1" s="1"/>
  <c r="C16" i="1"/>
  <c r="C49" i="1"/>
  <c r="C47" i="1" l="1"/>
  <c r="C51" i="1" s="1"/>
  <c r="C73" i="1" l="1"/>
  <c r="C76" i="1" s="1"/>
  <c r="C8" i="1"/>
  <c r="C17" i="1" s="1"/>
  <c r="C19" i="1" s="1"/>
  <c r="C95" i="1" l="1"/>
  <c r="G4" i="1"/>
  <c r="C20" i="1"/>
  <c r="C52" i="1" l="1"/>
  <c r="G3" i="1" s="1"/>
  <c r="G8" i="1"/>
  <c r="G5" i="1"/>
  <c r="G100" i="1" s="1"/>
  <c r="G101" i="1" s="1"/>
  <c r="C25" i="1"/>
  <c r="C26" i="1" s="1"/>
  <c r="G97" i="1" l="1"/>
  <c r="C27" i="1"/>
  <c r="C31" i="1" s="1"/>
  <c r="G104" i="1" l="1"/>
  <c r="G105" i="1" s="1"/>
  <c r="G106" i="1" s="1"/>
  <c r="G21" i="1"/>
  <c r="C32" i="1"/>
  <c r="C39" i="1" l="1"/>
  <c r="G88" i="1"/>
  <c r="G89" i="1"/>
  <c r="G90" i="1" l="1"/>
  <c r="G91" i="1" s="1"/>
  <c r="G93" i="1" s="1"/>
</calcChain>
</file>

<file path=xl/sharedStrings.xml><?xml version="1.0" encoding="utf-8"?>
<sst xmlns="http://schemas.openxmlformats.org/spreadsheetml/2006/main" count="185" uniqueCount="143">
  <si>
    <t>specific machine constant</t>
  </si>
  <si>
    <t>number of slots</t>
  </si>
  <si>
    <t>slot dimensions</t>
  </si>
  <si>
    <t>magnetic loading (avg)</t>
  </si>
  <si>
    <t>current density (rms)</t>
  </si>
  <si>
    <t>electrical loading (rms)</t>
  </si>
  <si>
    <t>magnetic loading (peak)</t>
  </si>
  <si>
    <t>electrical loading (peak)</t>
  </si>
  <si>
    <t>winding factor (kw1)</t>
  </si>
  <si>
    <t>apparent power (S)</t>
  </si>
  <si>
    <t>power factor (lagging)</t>
  </si>
  <si>
    <t>rated speed (rpm)</t>
  </si>
  <si>
    <t>frequency (Hz)</t>
  </si>
  <si>
    <t>number of poles</t>
  </si>
  <si>
    <t>number of pole pairs</t>
  </si>
  <si>
    <t>mechanical frequency (Hz)</t>
  </si>
  <si>
    <t>VA</t>
  </si>
  <si>
    <r>
      <t>kVAs/m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</si>
  <si>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A/mm</t>
    </r>
    <r>
      <rPr>
        <vertAlign val="superscript"/>
        <sz val="11"/>
        <color theme="1"/>
        <rFont val="Calibri"/>
        <family val="2"/>
        <scheme val="minor"/>
      </rPr>
      <t>2</t>
    </r>
  </si>
  <si>
    <t>A/m</t>
  </si>
  <si>
    <t>T</t>
  </si>
  <si>
    <t>rpm</t>
  </si>
  <si>
    <t>Hz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</si>
  <si>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</si>
  <si>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</si>
  <si>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(m)</t>
    </r>
  </si>
  <si>
    <r>
      <t>X (L'/D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</si>
  <si>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L'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</si>
  <si>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axial length L' (m)</t>
  </si>
  <si>
    <t>active power (P)</t>
  </si>
  <si>
    <t>watts</t>
  </si>
  <si>
    <t>airgap clearance (heavy duty)</t>
  </si>
  <si>
    <t>mm</t>
  </si>
  <si>
    <t>axial length L'</t>
  </si>
  <si>
    <r>
      <t>rotor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</si>
  <si>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</si>
  <si>
    <r>
      <t>stator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</si>
  <si>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t>Di/Do (564 datasheet)</t>
  </si>
  <si>
    <t>slot height</t>
  </si>
  <si>
    <t>q</t>
  </si>
  <si>
    <t>number of phases (m)</t>
  </si>
  <si>
    <t>slot pitch</t>
  </si>
  <si>
    <t>slot width</t>
  </si>
  <si>
    <t>tooth width</t>
  </si>
  <si>
    <t>slot pitch angle (elec)</t>
  </si>
  <si>
    <t>tooth &amp; slot dimensions</t>
  </si>
  <si>
    <t>Base Values</t>
  </si>
  <si>
    <t>base power</t>
  </si>
  <si>
    <t>base impedance</t>
  </si>
  <si>
    <t>base voltage (L-L)</t>
  </si>
  <si>
    <t>coil span (elec) (full-pitch)</t>
  </si>
  <si>
    <t>kp1</t>
  </si>
  <si>
    <t>kd1</t>
  </si>
  <si>
    <t>rated voltage</t>
  </si>
  <si>
    <t>volts</t>
  </si>
  <si>
    <t>phase voltage</t>
  </si>
  <si>
    <t>flux per pole</t>
  </si>
  <si>
    <t>pole area</t>
  </si>
  <si>
    <t>m2</t>
  </si>
  <si>
    <t>wb</t>
  </si>
  <si>
    <t>turns per phase</t>
  </si>
  <si>
    <t>We can choose Nph=84, to get an integer for conducter per slot. By increasing Nph, we will have less flux.</t>
  </si>
  <si>
    <t>gama</t>
  </si>
  <si>
    <t>pole pitch</t>
  </si>
  <si>
    <t>flux densities</t>
  </si>
  <si>
    <t>tooth flux density (peak)</t>
  </si>
  <si>
    <t>stator back-core flux density (peak)</t>
  </si>
  <si>
    <t>stator back-core flux density (avg)</t>
  </si>
  <si>
    <t>tooth flux density (avg)</t>
  </si>
  <si>
    <t>rotor back-core flux density (peak)</t>
  </si>
  <si>
    <t>rotor back-core flux density (avg)</t>
  </si>
  <si>
    <t>new turn per phase</t>
  </si>
  <si>
    <t>new flux per pole</t>
  </si>
  <si>
    <t>number of teeth per pole</t>
  </si>
  <si>
    <t>total turns</t>
  </si>
  <si>
    <t>total conductors</t>
  </si>
  <si>
    <t>conductors per slot</t>
  </si>
  <si>
    <t>phase current (rms)</t>
  </si>
  <si>
    <t>A</t>
  </si>
  <si>
    <t>new magnetic loading (avg)</t>
  </si>
  <si>
    <t>area of conductor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</si>
  <si>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</si>
  <si>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total conductor area per slot</t>
  </si>
  <si>
    <t>slot area</t>
  </si>
  <si>
    <t>fill factor</t>
  </si>
  <si>
    <t>electrical loading from equation</t>
  </si>
  <si>
    <t>deg</t>
  </si>
  <si>
    <t>stator back core thickness</t>
  </si>
  <si>
    <t>rotor back core thickness</t>
  </si>
  <si>
    <t>Q\coilpitch</t>
  </si>
  <si>
    <t>fundamental winding factor</t>
  </si>
  <si>
    <t>3rd harmonic winding factor</t>
  </si>
  <si>
    <t>5th harmonic winding factor</t>
  </si>
  <si>
    <t>mu0</t>
  </si>
  <si>
    <t>pole core flux density (peak)</t>
  </si>
  <si>
    <t>pole core flux density (avg)</t>
  </si>
  <si>
    <t>pole width</t>
  </si>
  <si>
    <r>
      <t>Armature MMF per pole (AT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)(F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</si>
  <si>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SCR</t>
  </si>
  <si>
    <r>
      <t>No-load field MMF per pole (AT</t>
    </r>
    <r>
      <rPr>
        <vertAlign val="subscript"/>
        <sz val="11"/>
        <color theme="1"/>
        <rFont val="Calibri"/>
        <family val="2"/>
        <scheme val="minor"/>
      </rPr>
      <t>fo</t>
    </r>
    <r>
      <rPr>
        <sz val="11"/>
        <color theme="1"/>
        <rFont val="Calibri"/>
        <family val="2"/>
        <scheme val="minor"/>
      </rPr>
      <t>)</t>
    </r>
  </si>
  <si>
    <r>
      <t>full-load field MMF per pole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</si>
  <si>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cos(fi) (power factor)</t>
  </si>
  <si>
    <t>sin(fi)</t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</si>
  <si>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</si>
  <si>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current density for field winding</t>
  </si>
  <si>
    <t>pole tip height</t>
  </si>
  <si>
    <t>fill factor for field winding</t>
  </si>
  <si>
    <t>area of empty space between poles</t>
  </si>
  <si>
    <t>width of empty part next to pole</t>
  </si>
  <si>
    <t>area for field winding</t>
  </si>
  <si>
    <t>area for field winding (one side)</t>
  </si>
  <si>
    <t>mm2</t>
  </si>
  <si>
    <t>shaft diameter</t>
  </si>
  <si>
    <t>total pole height</t>
  </si>
  <si>
    <t>pole body height</t>
  </si>
  <si>
    <t>cross section of field winding</t>
  </si>
  <si>
    <t>turn number for field winding (Nf)</t>
  </si>
  <si>
    <t>chosen Nf</t>
  </si>
  <si>
    <t>Field current (If)</t>
  </si>
  <si>
    <t>Xd (1/scr)</t>
  </si>
  <si>
    <t>Xq</t>
  </si>
  <si>
    <t>Rq</t>
  </si>
  <si>
    <t>length of ait in q-dir</t>
  </si>
  <si>
    <t>Area in q-dir</t>
  </si>
  <si>
    <t>Lq</t>
  </si>
  <si>
    <t>rated speed in rad/sec (elec)</t>
  </si>
  <si>
    <t>induced voltage</t>
  </si>
  <si>
    <t>mean length per turn</t>
  </si>
  <si>
    <t>coil throw</t>
  </si>
  <si>
    <t>resistivity</t>
  </si>
  <si>
    <t>Ra</t>
  </si>
  <si>
    <t>ohms</t>
  </si>
  <si>
    <t>Rf (one pole)</t>
  </si>
  <si>
    <t>Rf total</t>
  </si>
  <si>
    <t>Field Resistance Calculation</t>
  </si>
  <si>
    <t>Armature Resistance Calculation</t>
  </si>
  <si>
    <t>Induced Voltage Calculation</t>
  </si>
  <si>
    <t>Inductance Calculation</t>
  </si>
  <si>
    <t>Ld</t>
  </si>
  <si>
    <t>Henries</t>
  </si>
  <si>
    <t>rad/sec</t>
  </si>
  <si>
    <t>Material Selection ???</t>
  </si>
  <si>
    <t>A/mm2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</si>
</sst>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Alignment="1">
      <alignment horizontal="center" vertical="top" wrapText="1"/>
    </xf>
    <xf numFmtId="0" fontId="0" fillId="4" borderId="0" xfId="0" applyFill="1"/>
    <xf numFmtId="0" fontId="0" fillId="0" borderId="0" xfId="0" applyFill="1"/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top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294290</xdr:colOff>
      <xdr:row>0</xdr:row>
      <xdr:rowOff>105103</xdr:rowOff>
    </xdr:from>
    <xdr:to>
      <xdr:col>12</xdr:col>
      <xdr:colOff>477952</xdr:colOff>
      <xdr:row>8</xdr:row>
      <xdr:rowOff>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5EDB0-220C-85C7-8BA2-48E42B0D4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159" y="105103"/>
          <a:ext cx="2012462" cy="1442445"/>
        </a:xfrm>
        <a:prstGeom prst="rect">
          <a:avLst/>
        </a:prstGeom>
      </xdr:spPr>
    </xdr:pic>
    <xdr:clientData/>
  </xdr:twoCellAnchor>
  <xdr:twoCellAnchor editAs="oneCell">
    <xdr:from>
      <xdr:col>9</xdr:col>
      <xdr:colOff>397553</xdr:colOff>
      <xdr:row>10</xdr:row>
      <xdr:rowOff>57807</xdr:rowOff>
    </xdr:from>
    <xdr:to>
      <xdr:col>11</xdr:col>
      <xdr:colOff>439248</xdr:colOff>
      <xdr:row>13</xdr:row>
      <xdr:rowOff>60609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40542-E6E0-C7D6-C294-B8C67887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5967" y="1897117"/>
          <a:ext cx="1260895" cy="554595"/>
        </a:xfrm>
        <a:prstGeom prst="rect">
          <a:avLst/>
        </a:prstGeom>
      </xdr:spPr>
    </xdr:pic>
    <xdr:clientData/>
  </xdr:twoCellAnchor>
  <xdr:twoCellAnchor editAs="oneCell">
    <xdr:from>
      <xdr:col>9</xdr:col>
      <xdr:colOff>346841</xdr:colOff>
      <xdr:row>13</xdr:row>
      <xdr:rowOff>65786</xdr:rowOff>
    </xdr:from>
    <xdr:to>
      <xdr:col>11</xdr:col>
      <xdr:colOff>346532</xdr:colOff>
      <xdr:row>22</xdr:row>
      <xdr:rowOff>27633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967E6-6483-D072-2D35-61D97885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5255" y="2456889"/>
          <a:ext cx="1218891" cy="1696054"/>
        </a:xfrm>
        <a:prstGeom prst="rect">
          <a:avLst/>
        </a:prstGeom>
      </xdr:spPr>
    </xdr:pic>
    <xdr:clientData/>
  </xdr:twoCellAnchor>
  <xdr:twoCellAnchor editAs="oneCell">
    <xdr:from>
      <xdr:col>14</xdr:col>
      <xdr:colOff>21020</xdr:colOff>
      <xdr:row>0</xdr:row>
      <xdr:rowOff>85451</xdr:rowOff>
    </xdr:from>
    <xdr:to>
      <xdr:col>17</xdr:col>
      <xdr:colOff>22548</xdr:colOff>
      <xdr:row>7</xdr:row>
      <xdr:rowOff>176543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684F2C-82CC-698A-B38A-99C8231FC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5241" y="85451"/>
          <a:ext cx="1830328" cy="1431161"/>
        </a:xfrm>
        <a:prstGeom prst="rect">
          <a:avLst/>
        </a:prstGeom>
      </xdr:spPr>
    </xdr:pic>
    <xdr:clientData/>
  </xdr:twoCellAnchor>
  <xdr:twoCellAnchor editAs="oneCell">
    <xdr:from>
      <xdr:col>14</xdr:col>
      <xdr:colOff>29658</xdr:colOff>
      <xdr:row>8</xdr:row>
      <xdr:rowOff>34374</xdr:rowOff>
    </xdr:from>
    <xdr:to>
      <xdr:col>17</xdr:col>
      <xdr:colOff>524456</xdr:colOff>
      <xdr:row>13</xdr:row>
      <xdr:rowOff>55680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52BC5B-7B0B-4911-7FA7-718F0B59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3879" y="1547864"/>
          <a:ext cx="2323598" cy="940961"/>
        </a:xfrm>
        <a:prstGeom prst="rect">
          <a:avLst/>
        </a:prstGeom>
      </xdr:spPr>
    </xdr:pic>
    <xdr:clientData/>
  </xdr:twoCellAnchor>
  <xdr:twoCellAnchor editAs="oneCell">
    <xdr:from>
      <xdr:col>7</xdr:col>
      <xdr:colOff>241740</xdr:colOff>
      <xdr:row>27</xdr:row>
      <xdr:rowOff>63924</xdr:rowOff>
    </xdr:from>
    <xdr:to>
      <xdr:col>11</xdr:col>
      <xdr:colOff>225974</xdr:colOff>
      <xdr:row>37</xdr:row>
      <xdr:rowOff>9161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BFB13B-0943-5C19-5EDF-793A0FF7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41326" y="5182462"/>
          <a:ext cx="2422634" cy="1805568"/>
        </a:xfrm>
        <a:prstGeom prst="rect">
          <a:avLst/>
        </a:prstGeom>
      </xdr:spPr>
    </xdr:pic>
    <xdr:clientData/>
  </xdr:twoCellAnchor>
  <xdr:twoCellAnchor editAs="oneCell">
    <xdr:from>
      <xdr:col>7</xdr:col>
      <xdr:colOff>63061</xdr:colOff>
      <xdr:row>42</xdr:row>
      <xdr:rowOff>67635</xdr:rowOff>
    </xdr:from>
    <xdr:to>
      <xdr:col>11</xdr:col>
      <xdr:colOff>565881</xdr:colOff>
      <xdr:row>47</xdr:row>
      <xdr:rowOff>122278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8ADFEB-6DA3-14C3-F468-8B3A52C89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73764" y="7561511"/>
          <a:ext cx="2941220" cy="974298"/>
        </a:xfrm>
        <a:prstGeom prst="rect">
          <a:avLst/>
        </a:prstGeom>
      </xdr:spPr>
    </xdr:pic>
    <xdr:clientData/>
  </xdr:twoCellAnchor>
  <xdr:twoCellAnchor editAs="oneCell">
    <xdr:from>
      <xdr:col>8</xdr:col>
      <xdr:colOff>200649</xdr:colOff>
      <xdr:row>46</xdr:row>
      <xdr:rowOff>124921</xdr:rowOff>
    </xdr:from>
    <xdr:to>
      <xdr:col>15</xdr:col>
      <xdr:colOff>115614</xdr:colOff>
      <xdr:row>56</xdr:row>
      <xdr:rowOff>153922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AC4B9D-E939-0C0D-6742-79A3BAB3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14483" y="8780190"/>
          <a:ext cx="4182165" cy="1878822"/>
        </a:xfrm>
        <a:prstGeom prst="rect">
          <a:avLst/>
        </a:prstGeom>
      </xdr:spPr>
    </xdr:pic>
    <xdr:clientData/>
  </xdr:twoCellAnchor>
  <xdr:twoCellAnchor editAs="oneCell">
    <xdr:from>
      <xdr:col>8</xdr:col>
      <xdr:colOff>210326</xdr:colOff>
      <xdr:row>55</xdr:row>
      <xdr:rowOff>147143</xdr:rowOff>
    </xdr:from>
    <xdr:to>
      <xdr:col>13</xdr:col>
      <xdr:colOff>562305</xdr:colOff>
      <xdr:row>68</xdr:row>
      <xdr:rowOff>55439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CFE480-4BC5-C63E-C5EF-50F147BE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66960" y="10399984"/>
          <a:ext cx="3399979" cy="2309909"/>
        </a:xfrm>
        <a:prstGeom prst="rect">
          <a:avLst/>
        </a:prstGeom>
      </xdr:spPr>
    </xdr:pic>
    <xdr:clientData/>
  </xdr:twoCellAnchor>
  <xdr:twoCellAnchor editAs="oneCell">
    <xdr:from>
      <xdr:col>5</xdr:col>
      <xdr:colOff>84084</xdr:colOff>
      <xdr:row>65</xdr:row>
      <xdr:rowOff>57807</xdr:rowOff>
    </xdr:from>
    <xdr:to>
      <xdr:col>5</xdr:col>
      <xdr:colOff>1996965</xdr:colOff>
      <xdr:row>74</xdr:row>
      <xdr:rowOff>177953</xdr:rowOff>
    </xdr:to>
    <xdr:pic>
      <xdr:nvPicPr>
        <xdr:cNvPr id="11" name="Picture 10" descr="MMF Method or Ampere-Turn Method of Voltage Regulation">
          <a:extLst>
            <a:ext uri="{FF2B5EF4-FFF2-40B4-BE49-F238E27FC236}">
              <a16:creationId xmlns:a16="http://schemas.microsoft.com/office/drawing/2014/main" id="{5460AE32-5849-717A-79FA-B0EC0083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1187" y="12207766"/>
          <a:ext cx="1912881" cy="1828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52554</xdr:colOff>
      <xdr:row>75</xdr:row>
      <xdr:rowOff>94595</xdr:rowOff>
    </xdr:from>
    <xdr:to>
      <xdr:col>5</xdr:col>
      <xdr:colOff>2007477</xdr:colOff>
      <xdr:row>77</xdr:row>
      <xdr:rowOff>158134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C2EAB4-E52F-2DBF-0DD1-0EB7FD38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29657" y="14146926"/>
          <a:ext cx="1954923" cy="447167"/>
        </a:xfrm>
        <a:prstGeom prst="rect">
          <a:avLst/>
        </a:prstGeom>
      </xdr:spPr>
    </xdr:pic>
    <xdr:clientData/>
  </xdr:twoCellAnchor>
  <xdr:twoCellAnchor editAs="oneCell">
    <xdr:from>
      <xdr:col>5</xdr:col>
      <xdr:colOff>57808</xdr:colOff>
      <xdr:row>109</xdr:row>
      <xdr:rowOff>41485</xdr:rowOff>
    </xdr:from>
    <xdr:to>
      <xdr:col>7</xdr:col>
      <xdr:colOff>320827</xdr:colOff>
      <xdr:row>116</xdr:row>
      <xdr:rowOff>111935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B933116-6454-65BE-1A17-1F890357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5780" y="20000630"/>
          <a:ext cx="3069281" cy="135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6"/>
  <sheetViews>
    <sheetView tabSelected="1" zoomScale="145" zoomScaleNormal="145" workbookViewId="0">
      <selection activeCell="C95" sqref="C95"/>
    </sheetView>
  </sheetViews>
  <sheetFormatPr defaultRowHeight="14.4" x14ac:dyDescent="0.3"/>
  <cols>
    <col min="2" max="2" width="30.6640625" bestFit="1" customWidth="1"/>
    <col min="3" max="3" width="12.6640625" bestFit="1" customWidth="1"/>
    <col min="6" max="6" width="30.33203125" bestFit="1" customWidth="1"/>
    <col min="7" max="7" width="10.5546875" bestFit="1" customWidth="1"/>
  </cols>
  <sheetData>
    <row r="1" spans="2:12" x14ac:dyDescent="0.3">
      <c r="E1" s="1"/>
      <c r="I1" s="1"/>
    </row>
    <row r="2" spans="2:12" x14ac:dyDescent="0.3">
      <c r="E2" s="1"/>
      <c r="F2" t="s">
        <v>62</v>
      </c>
      <c r="G2">
        <f>4*10^-7</f>
        <v>3.9999999999999998E-7</v>
      </c>
      <c r="I2" s="1"/>
    </row>
    <row r="3" spans="2:12" x14ac:dyDescent="0.3">
      <c r="B3" t="s">
        <v>3</v>
      </c>
      <c r="C3">
        <v>0.75</v>
      </c>
      <c r="D3" s="2" t="s">
        <v>20</v>
      </c>
      <c r="E3" s="1"/>
      <c r="F3" t="s">
        <v>31</v>
      </c>
      <c r="G3">
        <f>(G2*C52*C5/C4)*1.5</f>
        <v>15.083683152829316</v>
      </c>
      <c r="H3" t="s">
        <v>32</v>
      </c>
      <c r="I3" s="1"/>
    </row>
    <row r="4" spans="2:12" ht="15.6" x14ac:dyDescent="0.35">
      <c r="B4" t="s">
        <v>6</v>
      </c>
      <c r="C4">
        <f>C3*PI()/2</f>
        <v>1.1780972450961724</v>
      </c>
      <c r="D4" s="2" t="s">
        <v>20</v>
      </c>
      <c r="E4" s="1"/>
      <c r="F4" t="s">
        <v>35</v>
      </c>
      <c r="G4">
        <f>C19*1000</f>
        <v>5484.9756919379333</v>
      </c>
      <c r="H4" t="s">
        <v>32</v>
      </c>
      <c r="I4" s="1"/>
    </row>
    <row r="5" spans="2:12" x14ac:dyDescent="0.3">
      <c r="B5" t="s">
        <v>5</v>
      </c>
      <c r="C5">
        <v>55000</v>
      </c>
      <c r="D5" s="2" t="s">
        <v>19</v>
      </c>
      <c r="E5" s="1"/>
      <c r="F5" t="s">
        <v>33</v>
      </c>
      <c r="G5">
        <f>C20*1000</f>
        <v>1076.9724586819252</v>
      </c>
      <c r="H5" t="s">
        <v>32</v>
      </c>
      <c r="I5" s="1"/>
    </row>
    <row r="6" spans="2:12" ht="15.6" x14ac:dyDescent="0.35">
      <c r="B6" t="s">
        <v>7</v>
      </c>
      <c r="C6">
        <f>C5*SQRT(2)</f>
        <v>77781.745930520236</v>
      </c>
      <c r="D6" s="2" t="s">
        <v>19</v>
      </c>
      <c r="E6" s="1"/>
      <c r="F6" t="s">
        <v>34</v>
      </c>
      <c r="G6">
        <f>C19*1000-2*G3</f>
        <v>5454.8083256322743</v>
      </c>
      <c r="H6" t="s">
        <v>32</v>
      </c>
      <c r="I6" s="1"/>
    </row>
    <row r="7" spans="2:12" ht="16.2" x14ac:dyDescent="0.35">
      <c r="B7" t="s">
        <v>4</v>
      </c>
      <c r="C7">
        <v>3.5</v>
      </c>
      <c r="D7" s="2" t="s">
        <v>18</v>
      </c>
      <c r="E7" s="1"/>
      <c r="F7" t="s">
        <v>37</v>
      </c>
      <c r="G7">
        <v>0.9</v>
      </c>
      <c r="I7" s="1"/>
    </row>
    <row r="8" spans="2:12" ht="16.2" x14ac:dyDescent="0.35">
      <c r="B8" t="s">
        <v>0</v>
      </c>
      <c r="C8">
        <f>PI()*PI()*C6/1000*C4*C51/2</f>
        <v>434.5588941429429</v>
      </c>
      <c r="D8" s="2" t="s">
        <v>17</v>
      </c>
      <c r="E8" s="1"/>
      <c r="F8" t="s">
        <v>36</v>
      </c>
      <c r="G8">
        <f>G4/0.9</f>
        <v>6094.4174354865927</v>
      </c>
      <c r="H8" t="s">
        <v>32</v>
      </c>
      <c r="I8" s="1"/>
    </row>
    <row r="9" spans="2:12" x14ac:dyDescent="0.3">
      <c r="B9" s="8"/>
      <c r="C9" s="8"/>
      <c r="D9" s="2"/>
      <c r="E9" s="1"/>
      <c r="I9" s="1"/>
    </row>
    <row r="10" spans="2:12" x14ac:dyDescent="0.3">
      <c r="B10" t="s">
        <v>9</v>
      </c>
      <c r="C10">
        <v>44000000</v>
      </c>
      <c r="D10" s="2" t="s">
        <v>16</v>
      </c>
      <c r="E10" s="1"/>
      <c r="I10" s="1"/>
      <c r="J10" s="21" t="s">
        <v>2</v>
      </c>
      <c r="K10" s="21"/>
      <c r="L10" s="21"/>
    </row>
    <row r="11" spans="2:12" x14ac:dyDescent="0.3">
      <c r="B11" t="s">
        <v>10</v>
      </c>
      <c r="C11">
        <v>0.9</v>
      </c>
      <c r="D11" s="2"/>
      <c r="E11" s="1"/>
      <c r="I11" s="1"/>
    </row>
    <row r="12" spans="2:12" x14ac:dyDescent="0.3">
      <c r="B12" t="s">
        <v>11</v>
      </c>
      <c r="C12">
        <v>187.5</v>
      </c>
      <c r="D12" s="2" t="s">
        <v>21</v>
      </c>
      <c r="E12" s="1"/>
      <c r="I12" s="1"/>
    </row>
    <row r="13" spans="2:12" x14ac:dyDescent="0.3">
      <c r="B13" t="s">
        <v>12</v>
      </c>
      <c r="C13">
        <v>50</v>
      </c>
      <c r="D13" s="2" t="s">
        <v>22</v>
      </c>
      <c r="E13" s="1"/>
      <c r="F13" s="21" t="s">
        <v>45</v>
      </c>
      <c r="G13" s="21"/>
      <c r="H13" s="21"/>
      <c r="I13" s="1"/>
    </row>
    <row r="14" spans="2:12" x14ac:dyDescent="0.3">
      <c r="B14" t="s">
        <v>13</v>
      </c>
      <c r="C14">
        <f>120*C13/C12</f>
        <v>32</v>
      </c>
      <c r="D14" s="2"/>
      <c r="E14" s="1"/>
      <c r="F14" t="s">
        <v>38</v>
      </c>
      <c r="G14">
        <f>(G8-G4)/2-G21</f>
        <v>102.07795199227397</v>
      </c>
      <c r="H14" t="s">
        <v>32</v>
      </c>
      <c r="I14" s="1"/>
    </row>
    <row r="15" spans="2:12" x14ac:dyDescent="0.3">
      <c r="B15" t="s">
        <v>14</v>
      </c>
      <c r="C15">
        <f>C14/2</f>
        <v>16</v>
      </c>
      <c r="D15" s="2"/>
      <c r="E15" s="1"/>
      <c r="F15" t="s">
        <v>41</v>
      </c>
      <c r="G15">
        <f>PI()*G4/C41</f>
        <v>68.379203725836518</v>
      </c>
      <c r="H15" t="s">
        <v>32</v>
      </c>
      <c r="I15" s="1"/>
    </row>
    <row r="16" spans="2:12" x14ac:dyDescent="0.3">
      <c r="B16" t="s">
        <v>15</v>
      </c>
      <c r="C16">
        <f>C13/C15</f>
        <v>3.125</v>
      </c>
      <c r="D16" s="2" t="s">
        <v>22</v>
      </c>
      <c r="E16" s="1"/>
      <c r="F16" t="s">
        <v>42</v>
      </c>
      <c r="G16">
        <f>G15-G17</f>
        <v>22.632653933767514</v>
      </c>
      <c r="H16" t="s">
        <v>32</v>
      </c>
      <c r="I16" s="1"/>
    </row>
    <row r="17" spans="2:9" ht="16.8" x14ac:dyDescent="0.35">
      <c r="B17" t="s">
        <v>27</v>
      </c>
      <c r="C17">
        <f>C10/1000/C8/C16</f>
        <v>32.40067155401163</v>
      </c>
      <c r="D17" s="2" t="s">
        <v>24</v>
      </c>
      <c r="E17" s="1"/>
      <c r="F17" t="s">
        <v>43</v>
      </c>
      <c r="G17">
        <f>C31/C53/G52/C20*1000</f>
        <v>45.746549792069004</v>
      </c>
      <c r="H17" t="s">
        <v>32</v>
      </c>
      <c r="I17" s="1"/>
    </row>
    <row r="18" spans="2:9" ht="16.8" x14ac:dyDescent="0.35">
      <c r="B18" t="s">
        <v>26</v>
      </c>
      <c r="C18">
        <f>PI()/(4*C15)*SQRT(C15)</f>
        <v>0.19634954084936207</v>
      </c>
      <c r="D18" s="2"/>
      <c r="E18" s="1"/>
      <c r="F18" t="s">
        <v>83</v>
      </c>
      <c r="G18">
        <f>G14*G16</f>
        <v>2310.2949617088707</v>
      </c>
      <c r="H18" t="s">
        <v>81</v>
      </c>
    </row>
    <row r="19" spans="2:9" ht="15.6" x14ac:dyDescent="0.35">
      <c r="B19" t="s">
        <v>25</v>
      </c>
      <c r="C19">
        <f>(C17/C18)^(1/3)</f>
        <v>5.4849756919379331</v>
      </c>
      <c r="D19" s="2" t="s">
        <v>23</v>
      </c>
    </row>
    <row r="20" spans="2:9" x14ac:dyDescent="0.3">
      <c r="B20" t="s">
        <v>28</v>
      </c>
      <c r="C20">
        <f>C19*C18</f>
        <v>1.0769724586819251</v>
      </c>
      <c r="D20" s="2" t="s">
        <v>23</v>
      </c>
    </row>
    <row r="21" spans="2:9" x14ac:dyDescent="0.3">
      <c r="B21" t="s">
        <v>29</v>
      </c>
      <c r="C21">
        <f>C10*C11</f>
        <v>39600000</v>
      </c>
      <c r="D21" s="2" t="s">
        <v>30</v>
      </c>
      <c r="F21" t="s">
        <v>87</v>
      </c>
      <c r="G21">
        <f>(C31/2/G54)/C20*1000</f>
        <v>202.64291978205571</v>
      </c>
      <c r="H21" t="s">
        <v>32</v>
      </c>
    </row>
    <row r="22" spans="2:9" x14ac:dyDescent="0.3">
      <c r="B22" t="s">
        <v>40</v>
      </c>
      <c r="C22">
        <v>3</v>
      </c>
      <c r="F22" t="s">
        <v>88</v>
      </c>
      <c r="G22">
        <f>(C31/2/G56)/C20*1000</f>
        <v>270.19055970940758</v>
      </c>
      <c r="H22" t="s">
        <v>32</v>
      </c>
    </row>
    <row r="23" spans="2:9" x14ac:dyDescent="0.3">
      <c r="B23" t="s">
        <v>53</v>
      </c>
      <c r="C23">
        <v>13800</v>
      </c>
      <c r="D23" s="2" t="s">
        <v>54</v>
      </c>
      <c r="F23" t="s">
        <v>96</v>
      </c>
      <c r="G23">
        <f>C31/G58/C20*1000</f>
        <v>360.25407961254348</v>
      </c>
      <c r="H23" t="s">
        <v>32</v>
      </c>
    </row>
    <row r="24" spans="2:9" x14ac:dyDescent="0.3">
      <c r="B24" t="s">
        <v>55</v>
      </c>
      <c r="C24">
        <f>C23/SQRT(3)</f>
        <v>7967.4337148168361</v>
      </c>
      <c r="D24" s="2" t="s">
        <v>54</v>
      </c>
    </row>
    <row r="25" spans="2:9" x14ac:dyDescent="0.3">
      <c r="B25" t="s">
        <v>57</v>
      </c>
      <c r="C25">
        <f>PI()*C19*C20/C14</f>
        <v>0.57993483837969551</v>
      </c>
      <c r="D25" s="2" t="s">
        <v>58</v>
      </c>
    </row>
    <row r="26" spans="2:9" x14ac:dyDescent="0.3">
      <c r="B26" t="s">
        <v>56</v>
      </c>
      <c r="C26">
        <f>C3*C25</f>
        <v>0.4349511287847716</v>
      </c>
      <c r="D26" s="2" t="s">
        <v>59</v>
      </c>
    </row>
    <row r="27" spans="2:9" x14ac:dyDescent="0.3">
      <c r="B27" t="s">
        <v>60</v>
      </c>
      <c r="C27">
        <f>C24/(4.44*C13*C51*C26)</f>
        <v>85.862782192823516</v>
      </c>
    </row>
    <row r="28" spans="2:9" x14ac:dyDescent="0.3">
      <c r="B28" s="22" t="s">
        <v>61</v>
      </c>
      <c r="C28" s="22"/>
      <c r="D28" s="22"/>
    </row>
    <row r="29" spans="2:9" x14ac:dyDescent="0.3">
      <c r="B29" s="22"/>
      <c r="C29" s="22"/>
      <c r="D29" s="22"/>
    </row>
    <row r="30" spans="2:9" x14ac:dyDescent="0.3">
      <c r="B30" s="3" t="s">
        <v>71</v>
      </c>
      <c r="C30" s="4">
        <v>84</v>
      </c>
    </row>
    <row r="31" spans="2:9" x14ac:dyDescent="0.3">
      <c r="B31" s="4" t="s">
        <v>72</v>
      </c>
      <c r="C31" s="4">
        <f>C26*C27/C30</f>
        <v>0.4445965956591616</v>
      </c>
      <c r="D31" t="s">
        <v>59</v>
      </c>
    </row>
    <row r="32" spans="2:9" x14ac:dyDescent="0.3">
      <c r="B32" s="6" t="s">
        <v>79</v>
      </c>
      <c r="C32" s="6">
        <f>C31/C25</f>
        <v>0.7666319838644956</v>
      </c>
      <c r="D32" s="5" t="s">
        <v>20</v>
      </c>
      <c r="F32" s="7" t="s">
        <v>85</v>
      </c>
      <c r="G32" s="7">
        <f>C35*C41*C36/PI()/C19</f>
        <v>53841.719263739935</v>
      </c>
    </row>
    <row r="33" spans="2:4" x14ac:dyDescent="0.3">
      <c r="B33" s="6" t="s">
        <v>74</v>
      </c>
      <c r="C33" s="6">
        <f>C30*3</f>
        <v>252</v>
      </c>
    </row>
    <row r="34" spans="2:4" x14ac:dyDescent="0.3">
      <c r="B34" t="s">
        <v>75</v>
      </c>
      <c r="C34">
        <f>C33*2</f>
        <v>504</v>
      </c>
    </row>
    <row r="35" spans="2:4" x14ac:dyDescent="0.3">
      <c r="B35" t="s">
        <v>76</v>
      </c>
      <c r="C35">
        <f>C34/C41</f>
        <v>2</v>
      </c>
    </row>
    <row r="36" spans="2:4" x14ac:dyDescent="0.3">
      <c r="B36" t="s">
        <v>77</v>
      </c>
      <c r="C36">
        <f>C10/3/C24</f>
        <v>1840.8269452422849</v>
      </c>
      <c r="D36" t="s">
        <v>78</v>
      </c>
    </row>
    <row r="37" spans="2:4" ht="16.2" x14ac:dyDescent="0.3">
      <c r="B37" t="s">
        <v>80</v>
      </c>
      <c r="C37">
        <f>C36/C7</f>
        <v>525.95055578350991</v>
      </c>
      <c r="D37" t="s">
        <v>81</v>
      </c>
    </row>
    <row r="38" spans="2:4" ht="16.2" x14ac:dyDescent="0.3">
      <c r="B38" t="s">
        <v>82</v>
      </c>
      <c r="C38">
        <f>C37*C35</f>
        <v>1051.9011115670198</v>
      </c>
      <c r="D38" t="s">
        <v>81</v>
      </c>
    </row>
    <row r="39" spans="2:4" x14ac:dyDescent="0.3">
      <c r="B39" t="s">
        <v>84</v>
      </c>
      <c r="C39">
        <f>C38/G18</f>
        <v>0.45531030842440717</v>
      </c>
    </row>
    <row r="41" spans="2:4" x14ac:dyDescent="0.3">
      <c r="B41" t="s">
        <v>1</v>
      </c>
      <c r="C41">
        <v>252</v>
      </c>
    </row>
    <row r="44" spans="2:4" x14ac:dyDescent="0.3">
      <c r="D44" t="s">
        <v>32</v>
      </c>
    </row>
    <row r="46" spans="2:4" x14ac:dyDescent="0.3">
      <c r="B46" t="s">
        <v>39</v>
      </c>
      <c r="C46">
        <f>C41/C14/C22</f>
        <v>2.625</v>
      </c>
    </row>
    <row r="47" spans="2:4" x14ac:dyDescent="0.3">
      <c r="B47" t="s">
        <v>52</v>
      </c>
      <c r="C47">
        <f>(SIN(C46*C49/2*PI()/180))/(C46*SIN(C49/2*PI()/180))</f>
        <v>0.96129143570819486</v>
      </c>
    </row>
    <row r="48" spans="2:4" x14ac:dyDescent="0.3">
      <c r="B48" t="s">
        <v>51</v>
      </c>
      <c r="C48">
        <f>SIN(C50*PI()/180/2)</f>
        <v>0.99968918200081625</v>
      </c>
    </row>
    <row r="49" spans="2:8" ht="15" thickBot="1" x14ac:dyDescent="0.35">
      <c r="B49" t="s">
        <v>44</v>
      </c>
      <c r="C49">
        <f>360/C41*C15</f>
        <v>22.857142857142858</v>
      </c>
      <c r="D49" t="s">
        <v>86</v>
      </c>
    </row>
    <row r="50" spans="2:8" ht="15" thickBot="1" x14ac:dyDescent="0.35">
      <c r="B50" t="s">
        <v>50</v>
      </c>
      <c r="C50">
        <f>180*C54/C53</f>
        <v>182.85714285714286</v>
      </c>
      <c r="D50" t="s">
        <v>86</v>
      </c>
      <c r="F50" s="23" t="s">
        <v>64</v>
      </c>
      <c r="G50" s="24"/>
      <c r="H50" s="15"/>
    </row>
    <row r="51" spans="2:8" x14ac:dyDescent="0.3">
      <c r="B51" t="s">
        <v>8</v>
      </c>
      <c r="C51">
        <f>C48*C47</f>
        <v>0.96099264902751558</v>
      </c>
      <c r="F51" s="18" t="s">
        <v>65</v>
      </c>
      <c r="G51" s="16">
        <v>1.8</v>
      </c>
    </row>
    <row r="52" spans="2:8" x14ac:dyDescent="0.3">
      <c r="B52" t="s">
        <v>63</v>
      </c>
      <c r="C52">
        <f>PI()*G4/C14</f>
        <v>538.48622934096261</v>
      </c>
      <c r="D52" t="s">
        <v>32</v>
      </c>
      <c r="F52" s="19" t="s">
        <v>68</v>
      </c>
      <c r="G52" s="16">
        <f>G51*2/PI()</f>
        <v>1.1459155902616465</v>
      </c>
    </row>
    <row r="53" spans="2:8" x14ac:dyDescent="0.3">
      <c r="B53" t="s">
        <v>73</v>
      </c>
      <c r="C53">
        <f>C41/C14</f>
        <v>7.875</v>
      </c>
      <c r="F53" s="19" t="s">
        <v>66</v>
      </c>
      <c r="G53" s="16">
        <v>1.6</v>
      </c>
    </row>
    <row r="54" spans="2:8" x14ac:dyDescent="0.3">
      <c r="B54" t="s">
        <v>128</v>
      </c>
      <c r="C54">
        <v>8</v>
      </c>
      <c r="F54" s="19" t="s">
        <v>67</v>
      </c>
      <c r="G54" s="16">
        <f>G53*2/PI()</f>
        <v>1.0185916357881302</v>
      </c>
    </row>
    <row r="55" spans="2:8" x14ac:dyDescent="0.3">
      <c r="F55" s="19" t="s">
        <v>69</v>
      </c>
      <c r="G55" s="16">
        <v>1.2</v>
      </c>
    </row>
    <row r="56" spans="2:8" x14ac:dyDescent="0.3">
      <c r="F56" s="19" t="s">
        <v>70</v>
      </c>
      <c r="G56" s="16">
        <f>G55*2/PI()</f>
        <v>0.76394372684109757</v>
      </c>
    </row>
    <row r="57" spans="2:8" x14ac:dyDescent="0.3">
      <c r="F57" s="19" t="s">
        <v>94</v>
      </c>
      <c r="G57" s="16">
        <v>1.8</v>
      </c>
    </row>
    <row r="58" spans="2:8" ht="15" thickBot="1" x14ac:dyDescent="0.35">
      <c r="B58" s="21" t="s">
        <v>46</v>
      </c>
      <c r="C58" s="21"/>
      <c r="F58" s="20" t="s">
        <v>95</v>
      </c>
      <c r="G58" s="17">
        <f>G57*2/PI()</f>
        <v>1.1459155902616465</v>
      </c>
    </row>
    <row r="59" spans="2:8" x14ac:dyDescent="0.3">
      <c r="B59" t="s">
        <v>49</v>
      </c>
      <c r="C59">
        <v>13800</v>
      </c>
    </row>
    <row r="60" spans="2:8" x14ac:dyDescent="0.3">
      <c r="B60" t="s">
        <v>47</v>
      </c>
      <c r="C60">
        <v>44000000</v>
      </c>
    </row>
    <row r="61" spans="2:8" x14ac:dyDescent="0.3">
      <c r="B61" t="s">
        <v>48</v>
      </c>
      <c r="C61">
        <f>C59*C59/C60</f>
        <v>4.3281818181818181</v>
      </c>
    </row>
    <row r="65" spans="2:4" x14ac:dyDescent="0.3">
      <c r="B65" t="s">
        <v>93</v>
      </c>
      <c r="C65">
        <f>4*PI()*10^(-7)</f>
        <v>1.2566370614359173E-6</v>
      </c>
    </row>
    <row r="66" spans="2:4" ht="15" thickBot="1" x14ac:dyDescent="0.35">
      <c r="B66" t="s">
        <v>129</v>
      </c>
      <c r="C66" s="14">
        <v>1.6800000000000002E-8</v>
      </c>
    </row>
    <row r="70" spans="2:4" ht="15.6" x14ac:dyDescent="0.35">
      <c r="B70" t="s">
        <v>97</v>
      </c>
      <c r="C70">
        <f>2.7*C36*C30*C51/C14</f>
        <v>12537.93748928688</v>
      </c>
    </row>
    <row r="71" spans="2:4" x14ac:dyDescent="0.3">
      <c r="B71" t="s">
        <v>98</v>
      </c>
      <c r="C71">
        <v>1.3</v>
      </c>
    </row>
    <row r="72" spans="2:4" ht="15.6" x14ac:dyDescent="0.35">
      <c r="B72" t="s">
        <v>99</v>
      </c>
      <c r="C72">
        <f>C71*C70</f>
        <v>16299.318736072944</v>
      </c>
    </row>
    <row r="73" spans="2:4" ht="15.6" x14ac:dyDescent="0.35">
      <c r="B73" t="s">
        <v>100</v>
      </c>
      <c r="C73">
        <f>SQRT((C72+C70*C75)^2+(C70*C74)^2)</f>
        <v>24515.799913215444</v>
      </c>
    </row>
    <row r="74" spans="2:4" x14ac:dyDescent="0.3">
      <c r="B74" t="s">
        <v>101</v>
      </c>
      <c r="C74">
        <v>0.9</v>
      </c>
    </row>
    <row r="75" spans="2:4" x14ac:dyDescent="0.3">
      <c r="B75" t="s">
        <v>102</v>
      </c>
      <c r="C75">
        <f>SQRT(1-C74^2)</f>
        <v>0.43588989435406728</v>
      </c>
    </row>
    <row r="76" spans="2:4" ht="15.6" x14ac:dyDescent="0.35">
      <c r="B76" t="s">
        <v>103</v>
      </c>
      <c r="C76">
        <f>C73</f>
        <v>24515.799913215444</v>
      </c>
    </row>
    <row r="79" spans="2:4" x14ac:dyDescent="0.3">
      <c r="B79" t="s">
        <v>104</v>
      </c>
      <c r="C79">
        <v>4</v>
      </c>
      <c r="D79" t="s">
        <v>142</v>
      </c>
    </row>
    <row r="80" spans="2:4" x14ac:dyDescent="0.3">
      <c r="B80" t="s">
        <v>106</v>
      </c>
      <c r="C80">
        <v>0.4</v>
      </c>
    </row>
    <row r="81" spans="2:8" x14ac:dyDescent="0.3">
      <c r="B81" t="s">
        <v>110</v>
      </c>
      <c r="C81">
        <f>C76/C79</f>
        <v>6128.9499783038609</v>
      </c>
      <c r="D81" t="s">
        <v>111</v>
      </c>
    </row>
    <row r="82" spans="2:8" x14ac:dyDescent="0.3">
      <c r="B82" t="s">
        <v>109</v>
      </c>
      <c r="C82">
        <f>C81*2</f>
        <v>12257.899956607722</v>
      </c>
      <c r="D82" t="s">
        <v>111</v>
      </c>
    </row>
    <row r="83" spans="2:8" x14ac:dyDescent="0.3">
      <c r="B83" t="s">
        <v>107</v>
      </c>
      <c r="C83">
        <f>C82/C80</f>
        <v>30644.749891519303</v>
      </c>
      <c r="D83" t="s">
        <v>111</v>
      </c>
    </row>
    <row r="84" spans="2:8" x14ac:dyDescent="0.3">
      <c r="B84" t="s">
        <v>112</v>
      </c>
      <c r="C84">
        <v>4000</v>
      </c>
      <c r="D84" t="s">
        <v>32</v>
      </c>
    </row>
    <row r="85" spans="2:8" x14ac:dyDescent="0.3">
      <c r="B85" t="s">
        <v>108</v>
      </c>
      <c r="C85">
        <f>(PI()*(C84+2*G22)-C14*G23)/C14</f>
        <v>85.496794426954921</v>
      </c>
      <c r="D85" t="s">
        <v>32</v>
      </c>
    </row>
    <row r="86" spans="2:8" x14ac:dyDescent="0.3">
      <c r="B86" t="s">
        <v>113</v>
      </c>
      <c r="C86">
        <f>G6/2-C84/2-G22</f>
        <v>457.21360310672958</v>
      </c>
      <c r="D86" t="s">
        <v>32</v>
      </c>
      <c r="F86" s="25" t="s">
        <v>137</v>
      </c>
      <c r="G86" s="25"/>
      <c r="H86" s="25"/>
    </row>
    <row r="87" spans="2:8" x14ac:dyDescent="0.3">
      <c r="B87" t="s">
        <v>114</v>
      </c>
      <c r="C87">
        <f>C82/C80/C85</f>
        <v>358.43156573198735</v>
      </c>
      <c r="D87" t="s">
        <v>32</v>
      </c>
      <c r="F87" t="s">
        <v>119</v>
      </c>
      <c r="G87">
        <f>1/C71</f>
        <v>0.76923076923076916</v>
      </c>
    </row>
    <row r="88" spans="2:8" x14ac:dyDescent="0.3">
      <c r="B88" t="s">
        <v>105</v>
      </c>
      <c r="C88">
        <f>C86-C87</f>
        <v>98.782037374742231</v>
      </c>
      <c r="D88" t="s">
        <v>32</v>
      </c>
      <c r="F88" t="s">
        <v>122</v>
      </c>
      <c r="G88">
        <f>(C88+C87+G3)/1000</f>
        <v>0.47229728625955891</v>
      </c>
      <c r="H88" t="s">
        <v>23</v>
      </c>
    </row>
    <row r="89" spans="2:8" x14ac:dyDescent="0.3">
      <c r="F89" t="s">
        <v>123</v>
      </c>
      <c r="G89">
        <f>C85*G5/1000000</f>
        <v>9.2077692903420758E-2</v>
      </c>
      <c r="H89" t="s">
        <v>111</v>
      </c>
    </row>
    <row r="90" spans="2:8" x14ac:dyDescent="0.3">
      <c r="F90" t="s">
        <v>121</v>
      </c>
      <c r="G90">
        <f>G88/C65/G89</f>
        <v>4081794.6967861168</v>
      </c>
    </row>
    <row r="91" spans="2:8" x14ac:dyDescent="0.3">
      <c r="F91" t="s">
        <v>124</v>
      </c>
      <c r="G91">
        <f>(C30^2)/G90</f>
        <v>1.7286513713087245E-3</v>
      </c>
      <c r="H91" t="s">
        <v>139</v>
      </c>
    </row>
    <row r="92" spans="2:8" x14ac:dyDescent="0.3">
      <c r="B92" t="s">
        <v>115</v>
      </c>
      <c r="C92">
        <v>85</v>
      </c>
      <c r="D92" t="s">
        <v>111</v>
      </c>
      <c r="F92" t="s">
        <v>125</v>
      </c>
      <c r="G92">
        <f>C12*2*PI()/60*C15</f>
        <v>314.15926535897933</v>
      </c>
      <c r="H92" t="s">
        <v>140</v>
      </c>
    </row>
    <row r="93" spans="2:8" x14ac:dyDescent="0.3">
      <c r="B93" t="s">
        <v>116</v>
      </c>
      <c r="C93">
        <f>C81/C92</f>
        <v>72.105293862398369</v>
      </c>
      <c r="F93" t="s">
        <v>120</v>
      </c>
      <c r="G93">
        <f>G92*G91</f>
        <v>0.54307184487214111</v>
      </c>
    </row>
    <row r="94" spans="2:8" x14ac:dyDescent="0.3">
      <c r="B94" t="s">
        <v>117</v>
      </c>
      <c r="C94">
        <v>72</v>
      </c>
      <c r="F94" t="s">
        <v>138</v>
      </c>
      <c r="G94">
        <f>G87/G92</f>
        <v>2.448537586029159E-3</v>
      </c>
      <c r="H94" t="s">
        <v>139</v>
      </c>
    </row>
    <row r="95" spans="2:8" x14ac:dyDescent="0.3">
      <c r="B95" t="s">
        <v>118</v>
      </c>
      <c r="C95">
        <f>C76/C94</f>
        <v>340.49722101688116</v>
      </c>
    </row>
    <row r="96" spans="2:8" x14ac:dyDescent="0.3">
      <c r="F96" s="25" t="s">
        <v>136</v>
      </c>
      <c r="G96" s="25"/>
      <c r="H96" s="25"/>
    </row>
    <row r="97" spans="2:8" x14ac:dyDescent="0.3">
      <c r="F97" t="s">
        <v>126</v>
      </c>
      <c r="G97">
        <f>4.44*C13*C51*C26*C30</f>
        <v>7794.5812487374988</v>
      </c>
      <c r="H97" t="s">
        <v>54</v>
      </c>
    </row>
    <row r="99" spans="2:8" x14ac:dyDescent="0.3">
      <c r="B99" s="26" t="s">
        <v>141</v>
      </c>
      <c r="C99" s="26"/>
      <c r="D99" s="26"/>
      <c r="F99" s="25" t="s">
        <v>135</v>
      </c>
      <c r="G99" s="25"/>
      <c r="H99" s="25"/>
    </row>
    <row r="100" spans="2:8" x14ac:dyDescent="0.3">
      <c r="F100" t="s">
        <v>127</v>
      </c>
      <c r="G100">
        <f>(2*PI()*C54/C53*G4/C14)+(2*G5)</f>
        <v>3248.012176977235</v>
      </c>
      <c r="H100" t="s">
        <v>32</v>
      </c>
    </row>
    <row r="101" spans="2:8" x14ac:dyDescent="0.3">
      <c r="F101" t="s">
        <v>130</v>
      </c>
      <c r="G101">
        <f>C66*C30*(G100/1000)/(C37/1000000)</f>
        <v>8.7148777270937214E-3</v>
      </c>
      <c r="H101" t="s">
        <v>131</v>
      </c>
    </row>
    <row r="103" spans="2:8" x14ac:dyDescent="0.3">
      <c r="F103" s="25" t="s">
        <v>134</v>
      </c>
      <c r="G103" s="25"/>
      <c r="H103" s="25"/>
    </row>
    <row r="104" spans="2:8" x14ac:dyDescent="0.3">
      <c r="F104" t="s">
        <v>127</v>
      </c>
      <c r="G104">
        <f>2*G5+2*(G23)</f>
        <v>2874.4530765889376</v>
      </c>
      <c r="H104" t="s">
        <v>32</v>
      </c>
    </row>
    <row r="105" spans="2:8" x14ac:dyDescent="0.3">
      <c r="F105" t="s">
        <v>132</v>
      </c>
      <c r="G105">
        <f>C66*C94*(G104/1000)/(C92/1000000)</f>
        <v>4.090515813461152E-2</v>
      </c>
      <c r="H105" t="s">
        <v>131</v>
      </c>
    </row>
    <row r="106" spans="2:8" x14ac:dyDescent="0.3">
      <c r="F106" t="s">
        <v>133</v>
      </c>
      <c r="G106">
        <f>G105*C14</f>
        <v>1.3089650603075687</v>
      </c>
      <c r="H106" t="s">
        <v>131</v>
      </c>
    </row>
  </sheetData>
  <mergeCells count="10">
    <mergeCell ref="F103:H103"/>
    <mergeCell ref="F99:H99"/>
    <mergeCell ref="F96:H96"/>
    <mergeCell ref="F86:H86"/>
    <mergeCell ref="B99:D99"/>
    <mergeCell ref="J10:L10"/>
    <mergeCell ref="F13:H13"/>
    <mergeCell ref="B58:C58"/>
    <mergeCell ref="B28:D29"/>
    <mergeCell ref="F50:G50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A0A6-2F06-47E0-92DF-6C7BA6B014B4}">
  <dimension ref="A1:Q51"/>
  <sheetViews>
    <sheetView zoomScale="115" zoomScaleNormal="115" workbookViewId="0">
      <selection activeCell="D7" sqref="D7"/>
    </sheetView>
  </sheetViews>
  <sheetFormatPr defaultRowHeight="14.4" x14ac:dyDescent="0.3"/>
  <cols>
    <col min="1" max="1" width="11.44140625" bestFit="1" customWidth="1"/>
    <col min="2" max="5" width="13.33203125" bestFit="1" customWidth="1"/>
    <col min="7" max="7" width="11.44140625" bestFit="1" customWidth="1"/>
    <col min="8" max="11" width="14" bestFit="1" customWidth="1"/>
    <col min="13" max="13" width="11.44140625" bestFit="1" customWidth="1"/>
    <col min="14" max="17" width="14" bestFit="1" customWidth="1"/>
  </cols>
  <sheetData>
    <row r="1" spans="1:17" ht="21" x14ac:dyDescent="0.4">
      <c r="A1" s="27" t="s">
        <v>90</v>
      </c>
      <c r="B1" s="27"/>
      <c r="C1" s="27"/>
      <c r="D1" s="27"/>
      <c r="E1" s="27"/>
      <c r="G1" s="27" t="s">
        <v>91</v>
      </c>
      <c r="H1" s="27"/>
      <c r="I1" s="27"/>
      <c r="J1" s="27"/>
      <c r="K1" s="27"/>
      <c r="M1" s="27" t="s">
        <v>92</v>
      </c>
      <c r="N1" s="27"/>
      <c r="O1" s="27"/>
      <c r="P1" s="27"/>
      <c r="Q1" s="27"/>
    </row>
    <row r="2" spans="1:17" ht="15.6" x14ac:dyDescent="0.3">
      <c r="A2" s="9" t="s">
        <v>89</v>
      </c>
      <c r="B2" s="10">
        <v>6</v>
      </c>
      <c r="C2" s="10">
        <v>7</v>
      </c>
      <c r="D2" s="10">
        <v>8</v>
      </c>
      <c r="E2" s="10">
        <v>9</v>
      </c>
      <c r="G2" s="9" t="s">
        <v>89</v>
      </c>
      <c r="H2" s="10">
        <v>6</v>
      </c>
      <c r="I2" s="10">
        <v>7</v>
      </c>
      <c r="J2" s="10">
        <v>8</v>
      </c>
      <c r="K2" s="10">
        <v>9</v>
      </c>
      <c r="M2" s="9" t="s">
        <v>89</v>
      </c>
      <c r="N2" s="10">
        <v>6</v>
      </c>
      <c r="O2" s="10">
        <v>7</v>
      </c>
      <c r="P2" s="10">
        <v>8</v>
      </c>
      <c r="Q2" s="10">
        <v>9</v>
      </c>
    </row>
    <row r="3" spans="1:17" ht="15.6" x14ac:dyDescent="0.3">
      <c r="A3" s="11">
        <v>252</v>
      </c>
      <c r="B3" s="9">
        <v>0.89484096229725696</v>
      </c>
      <c r="C3" s="13">
        <v>0.94668725878966697</v>
      </c>
      <c r="D3" s="13">
        <v>0.96099264902751602</v>
      </c>
      <c r="E3" s="9">
        <v>0.93718985241325803</v>
      </c>
      <c r="G3" s="11">
        <v>252</v>
      </c>
      <c r="H3" s="9">
        <v>-0.29341941780224601</v>
      </c>
      <c r="I3" s="13">
        <v>-0.58566073551683795</v>
      </c>
      <c r="J3" s="13">
        <v>-0.67437179875462705</v>
      </c>
      <c r="K3" s="9">
        <v>-0.52872352135575296</v>
      </c>
      <c r="M3" s="11">
        <v>252</v>
      </c>
      <c r="N3" s="9">
        <v>-6.6835845415757794E-2</v>
      </c>
      <c r="O3" s="13">
        <v>0.14575232954615999</v>
      </c>
      <c r="P3" s="13">
        <v>0.22499060910575799</v>
      </c>
      <c r="Q3" s="9">
        <v>9.8383299204260602E-2</v>
      </c>
    </row>
    <row r="4" spans="1:17" ht="15.6" x14ac:dyDescent="0.3">
      <c r="A4" s="11">
        <v>253</v>
      </c>
      <c r="B4" s="9">
        <v>0.89312278551098101</v>
      </c>
      <c r="C4" s="9">
        <v>0.94570199981845904</v>
      </c>
      <c r="D4" s="9">
        <v>0.96107427575899096</v>
      </c>
      <c r="E4" s="9">
        <v>0.93863481887979205</v>
      </c>
      <c r="G4" s="11">
        <v>253</v>
      </c>
      <c r="H4" s="9">
        <v>-0.28460620075951998</v>
      </c>
      <c r="I4" s="9">
        <v>-0.57970271893052705</v>
      </c>
      <c r="J4" s="9">
        <v>-0.67488160474228798</v>
      </c>
      <c r="K4" s="9">
        <v>-0.53731924553832999</v>
      </c>
      <c r="M4" s="11">
        <v>253</v>
      </c>
      <c r="N4" s="9">
        <v>-7.1840643745564203E-2</v>
      </c>
      <c r="O4" s="9">
        <v>0.14070672638301501</v>
      </c>
      <c r="P4" s="9">
        <v>0.225451144616021</v>
      </c>
      <c r="Q4" s="9">
        <v>0.105419838682642</v>
      </c>
    </row>
    <row r="5" spans="1:17" ht="15.6" x14ac:dyDescent="0.3">
      <c r="A5" s="11">
        <v>254</v>
      </c>
      <c r="B5" s="9">
        <v>0.89139874840292799</v>
      </c>
      <c r="C5" s="9">
        <v>0.944696330433483</v>
      </c>
      <c r="D5" s="9">
        <v>0.96111766686381295</v>
      </c>
      <c r="E5" s="9">
        <v>0.94002175040323499</v>
      </c>
      <c r="G5" s="11">
        <v>254</v>
      </c>
      <c r="H5" s="9">
        <v>-0.275814640905233</v>
      </c>
      <c r="I5" s="9">
        <v>-0.57364133762876701</v>
      </c>
      <c r="J5" s="9">
        <v>-0.67514943343392597</v>
      </c>
      <c r="K5" s="9">
        <v>-0.54559957806270298</v>
      </c>
      <c r="M5" s="11">
        <v>254</v>
      </c>
      <c r="N5" s="9">
        <v>-7.6752865622758806E-2</v>
      </c>
      <c r="O5" s="9">
        <v>0.135609677205908</v>
      </c>
      <c r="P5" s="9">
        <v>0.22568651647992499</v>
      </c>
      <c r="Q5" s="9">
        <v>0.112251076843042</v>
      </c>
    </row>
    <row r="6" spans="1:17" ht="15.6" x14ac:dyDescent="0.3">
      <c r="A6" s="11">
        <v>255</v>
      </c>
      <c r="B6" s="9">
        <v>0.88966918559813102</v>
      </c>
      <c r="C6" s="9">
        <v>0.94367085291442698</v>
      </c>
      <c r="D6" s="12">
        <v>0.96112371489387705</v>
      </c>
      <c r="E6" s="9">
        <v>0.94135181418006897</v>
      </c>
      <c r="G6" s="11">
        <v>255</v>
      </c>
      <c r="H6" s="9">
        <v>-0.26704675992497801</v>
      </c>
      <c r="I6" s="9">
        <v>-0.56748129138098102</v>
      </c>
      <c r="J6" s="12">
        <v>-0.67518105185717503</v>
      </c>
      <c r="K6" s="9">
        <v>-0.55356776294116505</v>
      </c>
      <c r="M6" s="11">
        <v>255</v>
      </c>
      <c r="N6" s="9">
        <v>-8.1571781088714795E-2</v>
      </c>
      <c r="O6" s="9">
        <v>0.130466789703059</v>
      </c>
      <c r="P6" s="12">
        <v>0.225702350621863</v>
      </c>
      <c r="Q6" s="9">
        <v>0.11887335589367699</v>
      </c>
    </row>
    <row r="7" spans="1:17" ht="15.6" x14ac:dyDescent="0.3">
      <c r="A7" s="11">
        <v>256</v>
      </c>
      <c r="B7" s="9">
        <v>0.88793442214701701</v>
      </c>
      <c r="C7" s="9">
        <v>0.94262615477359701</v>
      </c>
      <c r="D7" s="9">
        <v>0.961093292903065</v>
      </c>
      <c r="E7" s="9">
        <v>0.94262615477359701</v>
      </c>
      <c r="G7" s="11">
        <v>256</v>
      </c>
      <c r="H7" s="9">
        <v>-0.25830449258761001</v>
      </c>
      <c r="I7" s="9">
        <v>-0.56122716099955905</v>
      </c>
      <c r="J7" s="9">
        <v>-0.67498216735231198</v>
      </c>
      <c r="K7" s="9">
        <v>-0.56122716099955905</v>
      </c>
      <c r="M7" s="11">
        <v>256</v>
      </c>
      <c r="N7" s="9">
        <v>-8.6296772012812495E-2</v>
      </c>
      <c r="O7" s="9">
        <v>0.12528349460986901</v>
      </c>
      <c r="P7" s="9">
        <v>0.22550433260064201</v>
      </c>
      <c r="Q7" s="9">
        <v>0.12528349460986901</v>
      </c>
    </row>
    <row r="8" spans="1:17" ht="15.6" x14ac:dyDescent="0.3">
      <c r="A8" s="11">
        <v>257</v>
      </c>
      <c r="B8" s="9">
        <v>0.88619477379179801</v>
      </c>
      <c r="C8" s="9">
        <v>0.94156280912573298</v>
      </c>
      <c r="D8" s="9">
        <v>0.96102725488168095</v>
      </c>
      <c r="E8" s="9">
        <v>0.94384589453939505</v>
      </c>
      <c r="G8" s="11">
        <v>257</v>
      </c>
      <c r="H8" s="9">
        <v>-0.24958968945965901</v>
      </c>
      <c r="I8" s="9">
        <v>-0.55488341023464904</v>
      </c>
      <c r="J8" s="9">
        <v>-0.67455842504414698</v>
      </c>
      <c r="K8" s="9">
        <v>-0.56858124040896396</v>
      </c>
      <c r="M8" s="11">
        <v>257</v>
      </c>
      <c r="N8" s="9">
        <v>-9.0927326975912701E-2</v>
      </c>
      <c r="O8" s="9">
        <v>0.12006504739082299</v>
      </c>
      <c r="P8" s="9">
        <v>0.22509819497474501</v>
      </c>
      <c r="Q8" s="9">
        <v>0.13147876874096701</v>
      </c>
    </row>
    <row r="9" spans="1:17" ht="15.6" x14ac:dyDescent="0.3">
      <c r="A9" s="11">
        <v>258</v>
      </c>
      <c r="B9" s="9">
        <v>0.88445054722509098</v>
      </c>
      <c r="C9" s="9">
        <v>0.94048137504818097</v>
      </c>
      <c r="D9" s="9">
        <v>0.96092643618129603</v>
      </c>
      <c r="E9" s="9">
        <v>0.94501213404427298</v>
      </c>
      <c r="G9" s="11">
        <v>258</v>
      </c>
      <c r="H9" s="9">
        <v>-0.240904119550129</v>
      </c>
      <c r="I9" s="9">
        <v>-0.54845438769341504</v>
      </c>
      <c r="J9" s="9">
        <v>-0.67391540554674501</v>
      </c>
      <c r="K9" s="9">
        <v>-0.57563356764329998</v>
      </c>
      <c r="M9" s="11">
        <v>258</v>
      </c>
      <c r="N9" s="9">
        <v>-9.5463036312034497E-2</v>
      </c>
      <c r="O9" s="9">
        <v>0.114816530129439</v>
      </c>
      <c r="P9" s="9">
        <v>0.224489705396546</v>
      </c>
      <c r="Q9" s="9">
        <v>0.137456891636794</v>
      </c>
    </row>
    <row r="10" spans="1:17" ht="15.6" x14ac:dyDescent="0.3">
      <c r="A10" s="11">
        <v>259</v>
      </c>
      <c r="B10" s="9">
        <v>0.88270204034102595</v>
      </c>
      <c r="C10" s="9">
        <v>0.93938239793165901</v>
      </c>
      <c r="D10" s="9">
        <v>0.96079165393017496</v>
      </c>
      <c r="E10" s="9">
        <v>0.94612595247872999</v>
      </c>
      <c r="G10" s="11">
        <v>259</v>
      </c>
      <c r="H10" s="9">
        <v>-0.23224947288676401</v>
      </c>
      <c r="I10" s="9">
        <v>-0.541944328779142</v>
      </c>
      <c r="J10" s="9">
        <v>-0.67305862288839802</v>
      </c>
      <c r="K10" s="9">
        <v>-0.58238779884879799</v>
      </c>
      <c r="M10" s="11">
        <v>259</v>
      </c>
      <c r="N10" s="9">
        <v>-9.9903587306290995E-2</v>
      </c>
      <c r="O10" s="9">
        <v>0.109542853606363</v>
      </c>
      <c r="P10" s="9">
        <v>0.22368465540982499</v>
      </c>
      <c r="Q10" s="9">
        <v>0.143215995131449</v>
      </c>
    </row>
    <row r="11" spans="1:17" ht="15.6" x14ac:dyDescent="0.3">
      <c r="A11" s="11">
        <v>260</v>
      </c>
      <c r="B11" s="9">
        <v>0.88094954247906299</v>
      </c>
      <c r="C11" s="9">
        <v>0.93826640982188103</v>
      </c>
      <c r="D11" s="9">
        <v>0.960623707439484</v>
      </c>
      <c r="E11" s="9">
        <v>0.94718840806291404</v>
      </c>
      <c r="G11" s="11">
        <v>260</v>
      </c>
      <c r="H11" s="9">
        <v>-0.22362736302488401</v>
      </c>
      <c r="I11" s="9">
        <v>-0.53535735764591597</v>
      </c>
      <c r="J11" s="9">
        <v>-0.67199352264485501</v>
      </c>
      <c r="K11" s="9">
        <v>-0.58884767161152496</v>
      </c>
      <c r="M11" s="11">
        <v>260</v>
      </c>
      <c r="N11" s="9">
        <v>-0.10424875954691901</v>
      </c>
      <c r="O11" s="9">
        <v>0.10424875954691901</v>
      </c>
      <c r="P11" s="9">
        <v>0.22268884992503499</v>
      </c>
      <c r="Q11" s="9">
        <v>0.14875461071811599</v>
      </c>
    </row>
    <row r="12" spans="1:17" ht="15.6" x14ac:dyDescent="0.3">
      <c r="A12" s="11">
        <v>261</v>
      </c>
      <c r="B12" s="9">
        <v>0.879193334660754</v>
      </c>
      <c r="C12" s="9">
        <v>0.93713392975228205</v>
      </c>
      <c r="D12" s="9">
        <v>0.96042337860044402</v>
      </c>
      <c r="E12" s="9">
        <v>0.94820053844608498</v>
      </c>
      <c r="G12" s="11">
        <v>261</v>
      </c>
      <c r="H12" s="9">
        <v>-0.21503932948992299</v>
      </c>
      <c r="I12" s="9">
        <v>-0.52869748916487902</v>
      </c>
      <c r="J12" s="9">
        <v>-0.67072548026930501</v>
      </c>
      <c r="K12" s="9">
        <v>-0.59501699710938705</v>
      </c>
      <c r="M12" s="11">
        <v>261</v>
      </c>
      <c r="N12" s="9">
        <v>-0.10849842042906099</v>
      </c>
      <c r="O12" s="9">
        <v>9.8938823020548294E-2</v>
      </c>
      <c r="P12" s="9">
        <v>0.22150809734695501</v>
      </c>
      <c r="Q12" s="9">
        <v>0.15407165104460099</v>
      </c>
    </row>
    <row r="13" spans="1:17" ht="15.6" x14ac:dyDescent="0.3">
      <c r="A13" s="11">
        <v>262</v>
      </c>
      <c r="B13" s="9">
        <v>0.87743368981964698</v>
      </c>
      <c r="C13" s="9">
        <v>0.93598546406807503</v>
      </c>
      <c r="D13" s="9">
        <v>0.96019143227262804</v>
      </c>
      <c r="E13" s="9">
        <v>0.94916336109959099</v>
      </c>
      <c r="G13" s="11">
        <v>262</v>
      </c>
      <c r="H13" s="9">
        <v>-0.20648684015485</v>
      </c>
      <c r="I13" s="9">
        <v>-0.52196863089838597</v>
      </c>
      <c r="J13" s="9">
        <v>-0.66925979960813897</v>
      </c>
      <c r="K13" s="9">
        <v>-0.60089965263526202</v>
      </c>
      <c r="M13" s="11">
        <v>262</v>
      </c>
      <c r="N13" s="9">
        <v>-0.112652520807776</v>
      </c>
      <c r="O13" s="9">
        <v>9.3617454975651895E-2</v>
      </c>
      <c r="P13" s="9">
        <v>0.22014820032962601</v>
      </c>
      <c r="Q13" s="9">
        <v>0.15916639175571201</v>
      </c>
    </row>
    <row r="14" spans="1:17" ht="15.6" x14ac:dyDescent="0.3">
      <c r="A14" s="11">
        <v>263</v>
      </c>
      <c r="B14" s="9">
        <v>0.87567087302455504</v>
      </c>
      <c r="C14" s="9">
        <v>0.93482150674187103</v>
      </c>
      <c r="D14" s="9">
        <v>0.959928616663561</v>
      </c>
      <c r="E14" s="9">
        <v>0.95007787370338403</v>
      </c>
      <c r="G14" s="11">
        <v>263</v>
      </c>
      <c r="H14" s="9">
        <v>-0.19797129355365101</v>
      </c>
      <c r="I14" s="9">
        <v>-0.51517458507862601</v>
      </c>
      <c r="J14" s="9">
        <v>-0.66760171159202597</v>
      </c>
      <c r="K14" s="9">
        <v>-0.60649957447820702</v>
      </c>
      <c r="M14" s="11">
        <v>263</v>
      </c>
      <c r="N14" s="9">
        <v>-0.11671109079764801</v>
      </c>
      <c r="O14" s="9">
        <v>8.8288904894405495E-2</v>
      </c>
      <c r="P14" s="9">
        <v>0.21861494713378399</v>
      </c>
      <c r="Q14" s="9">
        <v>0.16403845370515299</v>
      </c>
    </row>
    <row r="15" spans="1:17" ht="15.6" x14ac:dyDescent="0.3">
      <c r="A15" s="11">
        <v>264</v>
      </c>
      <c r="B15" s="9">
        <v>0.87390514169639499</v>
      </c>
      <c r="C15" s="9">
        <v>0.933642539681101</v>
      </c>
      <c r="D15" s="9">
        <v>0.959635663699823</v>
      </c>
      <c r="E15" s="9">
        <v>0.95094505452609901</v>
      </c>
      <c r="G15" s="11">
        <v>264</v>
      </c>
      <c r="H15" s="9">
        <v>-0.189494021132074</v>
      </c>
      <c r="I15" s="9">
        <v>-0.50831905058756099</v>
      </c>
      <c r="J15" s="9">
        <v>-0.66575637309228097</v>
      </c>
      <c r="K15" s="9">
        <v>-0.61182075114995005</v>
      </c>
      <c r="M15" s="11">
        <v>264</v>
      </c>
      <c r="N15" s="9">
        <v>-0.120674235716203</v>
      </c>
      <c r="O15" s="9">
        <v>8.2957263553080807E-2</v>
      </c>
      <c r="P15" s="9">
        <v>0.21691410356236901</v>
      </c>
      <c r="Q15" s="9">
        <v>0.16868778555650901</v>
      </c>
    </row>
    <row r="16" spans="1:17" ht="15.6" x14ac:dyDescent="0.3">
      <c r="A16" s="11">
        <v>265</v>
      </c>
      <c r="B16" s="9">
        <v>0.87213674581877698</v>
      </c>
      <c r="C16" s="9">
        <v>0.93244903302744597</v>
      </c>
      <c r="D16" s="9">
        <v>0.95931328938980798</v>
      </c>
      <c r="E16" s="9">
        <v>0.95176586279872999</v>
      </c>
      <c r="G16" s="11">
        <v>265</v>
      </c>
      <c r="H16" s="9">
        <v>-0.18105628943686</v>
      </c>
      <c r="I16" s="9">
        <v>-0.50140562493524199</v>
      </c>
      <c r="J16" s="9">
        <v>-0.66372886593298197</v>
      </c>
      <c r="K16" s="9">
        <v>-0.61686721694414504</v>
      </c>
      <c r="M16" s="11">
        <v>265</v>
      </c>
      <c r="N16" s="9">
        <v>-0.124542132168268</v>
      </c>
      <c r="O16" s="9">
        <v>7.7626465874358799E-2</v>
      </c>
      <c r="P16" s="9">
        <v>0.21505140545012999</v>
      </c>
      <c r="Q16" s="9">
        <v>0.17311464678994601</v>
      </c>
    </row>
    <row r="17" spans="1:17" ht="15.6" x14ac:dyDescent="0.3">
      <c r="A17" s="11">
        <v>266</v>
      </c>
      <c r="B17" s="9">
        <v>0.87036592814254998</v>
      </c>
      <c r="C17" s="9">
        <v>0.93124144544848497</v>
      </c>
      <c r="D17" s="9">
        <v>0.95896219417832695</v>
      </c>
      <c r="E17" s="9">
        <v>0.95254123908194899</v>
      </c>
      <c r="G17" s="11">
        <v>266</v>
      </c>
      <c r="H17" s="9">
        <v>-0.172659302244696</v>
      </c>
      <c r="I17" s="9">
        <v>-0.49443780623382799</v>
      </c>
      <c r="J17" s="9">
        <v>-0.661524196049742</v>
      </c>
      <c r="K17" s="9">
        <v>-0.62164304581618401</v>
      </c>
      <c r="M17" s="11">
        <v>266</v>
      </c>
      <c r="N17" s="9">
        <v>-0.128315024268328</v>
      </c>
      <c r="O17" s="9">
        <v>7.2300293859008199E-2</v>
      </c>
      <c r="P17" s="9">
        <v>0.21303255168377999</v>
      </c>
      <c r="Q17" s="9">
        <v>0.17731959112857701</v>
      </c>
    </row>
    <row r="18" spans="1:17" ht="15.6" x14ac:dyDescent="0.3">
      <c r="A18" s="11">
        <v>267</v>
      </c>
      <c r="B18" s="9">
        <v>0.86859292438448299</v>
      </c>
      <c r="C18" s="9">
        <v>0.930020224421793</v>
      </c>
      <c r="D18" s="9">
        <v>0.95858306329321796</v>
      </c>
      <c r="E18" s="9">
        <v>0.95327210562708897</v>
      </c>
      <c r="G18" s="11">
        <v>267</v>
      </c>
      <c r="H18" s="9">
        <v>-0.16430420263210199</v>
      </c>
      <c r="I18" s="9">
        <v>-0.48741899516480103</v>
      </c>
      <c r="J18" s="9">
        <v>-0.65914729278643502</v>
      </c>
      <c r="K18" s="9">
        <v>-0.62615234557163002</v>
      </c>
      <c r="M18" s="11">
        <v>267</v>
      </c>
      <c r="N18" s="9">
        <v>-0.13199321999783201</v>
      </c>
      <c r="O18" s="9">
        <v>6.6982379585150506E-2</v>
      </c>
      <c r="P18" s="9">
        <v>0.21086319772968501</v>
      </c>
      <c r="Q18" s="9">
        <v>0.18130345039594201</v>
      </c>
    </row>
    <row r="19" spans="1:17" ht="15.6" x14ac:dyDescent="0.3">
      <c r="A19" s="11">
        <v>268</v>
      </c>
      <c r="B19" s="9">
        <v>0.86681796342024897</v>
      </c>
      <c r="C19" s="9">
        <v>0.92878580651166298</v>
      </c>
      <c r="D19" s="9">
        <v>0.95817656708413301</v>
      </c>
      <c r="E19" s="9">
        <v>0.953959366730872</v>
      </c>
      <c r="G19" s="11">
        <v>268</v>
      </c>
      <c r="H19" s="9">
        <v>-0.15599207498752399</v>
      </c>
      <c r="I19" s="9">
        <v>-0.48035249693711801</v>
      </c>
      <c r="J19" s="9">
        <v>-0.65660300832162</v>
      </c>
      <c r="K19" s="9">
        <v>-0.63039925235167005</v>
      </c>
      <c r="M19" s="11">
        <v>268</v>
      </c>
      <c r="N19" s="9">
        <v>-0.13557708769439</v>
      </c>
      <c r="O19" s="9">
        <v>6.1676208264130498E-2</v>
      </c>
      <c r="P19" s="9">
        <v>0.208548949646568</v>
      </c>
      <c r="Q19" s="9">
        <v>0.185067318813742</v>
      </c>
    </row>
    <row r="20" spans="1:17" ht="15.6" x14ac:dyDescent="0.3">
      <c r="A20" s="11">
        <v>269</v>
      </c>
      <c r="B20" s="9">
        <v>0.86504126747190202</v>
      </c>
      <c r="C20" s="9">
        <v>0.92753861763866596</v>
      </c>
      <c r="D20" s="9">
        <v>0.957743361353669</v>
      </c>
      <c r="E20" s="9">
        <v>0.95460390908390902</v>
      </c>
      <c r="G20" s="11">
        <v>269</v>
      </c>
      <c r="H20" s="9">
        <v>-0.147723946966836</v>
      </c>
      <c r="I20" s="9">
        <v>-0.47324152323419999</v>
      </c>
      <c r="J20" s="9">
        <v>-0.65389611721676499</v>
      </c>
      <c r="K20" s="9">
        <v>-0.63438792540423805</v>
      </c>
      <c r="M20" s="11">
        <v>269</v>
      </c>
      <c r="N20" s="9">
        <v>-0.13906705266973199</v>
      </c>
      <c r="O20" s="9">
        <v>5.6385121342790799E-2</v>
      </c>
      <c r="P20" s="9">
        <v>0.20609535856127301</v>
      </c>
      <c r="Q20" s="9">
        <v>0.18861253774689701</v>
      </c>
    </row>
    <row r="21" spans="1:17" ht="15.6" x14ac:dyDescent="0.3">
      <c r="A21" s="11">
        <v>270</v>
      </c>
      <c r="B21" s="9">
        <v>0.86326305229</v>
      </c>
      <c r="C21" s="9">
        <v>0.92627907334224002</v>
      </c>
      <c r="D21" s="9">
        <v>0.95728408768100504</v>
      </c>
      <c r="E21" s="9">
        <v>0.95520660211303299</v>
      </c>
      <c r="G21" s="11">
        <v>270</v>
      </c>
      <c r="H21" s="9">
        <v>-0.13950079139351901</v>
      </c>
      <c r="I21" s="9">
        <v>-0.46608919414783001</v>
      </c>
      <c r="J21" s="9">
        <v>-0.65103131607878195</v>
      </c>
      <c r="K21" s="9">
        <v>-0.63812254212981701</v>
      </c>
      <c r="M21" s="11">
        <v>270</v>
      </c>
      <c r="N21" s="9">
        <v>-0.14246359395327901</v>
      </c>
      <c r="O21" s="9">
        <v>5.1112319642649499E-2</v>
      </c>
      <c r="P21" s="9">
        <v>0.20350791558621401</v>
      </c>
      <c r="Q21" s="9">
        <v>0.19194068090101599</v>
      </c>
    </row>
    <row r="22" spans="1:17" ht="15.6" x14ac:dyDescent="0.3">
      <c r="A22" s="11">
        <v>271</v>
      </c>
      <c r="B22" s="9">
        <v>0.86148352733054001</v>
      </c>
      <c r="C22" s="9">
        <v>0.925007579036487</v>
      </c>
      <c r="D22" s="9">
        <v>0.956799373738208</v>
      </c>
      <c r="E22" s="9">
        <v>0.95576829831753696</v>
      </c>
      <c r="G22" s="11">
        <v>271</v>
      </c>
      <c r="H22" s="9">
        <v>-0.13132352810473</v>
      </c>
      <c r="I22" s="9">
        <v>-0.45889854009723502</v>
      </c>
      <c r="J22" s="9">
        <v>-0.64801322332970401</v>
      </c>
      <c r="K22" s="9">
        <v>-0.64160729339118705</v>
      </c>
      <c r="M22" s="11">
        <v>271</v>
      </c>
      <c r="N22" s="9">
        <v>-0.14576724115816</v>
      </c>
      <c r="O22" s="9">
        <v>4.58608665271815E-2</v>
      </c>
      <c r="P22" s="9">
        <v>0.20079204715769</v>
      </c>
      <c r="Q22" s="9">
        <v>0.19505353997562799</v>
      </c>
    </row>
    <row r="23" spans="1:17" ht="15.6" x14ac:dyDescent="0.3">
      <c r="A23" s="11">
        <v>272</v>
      </c>
      <c r="B23" s="9">
        <v>0.859702895926861</v>
      </c>
      <c r="C23" s="9">
        <v>0.92372453025937196</v>
      </c>
      <c r="D23" s="9">
        <v>0.95628983359936104</v>
      </c>
      <c r="E23" s="9">
        <v>0.95628983359936104</v>
      </c>
      <c r="G23" s="11">
        <v>272</v>
      </c>
      <c r="H23" s="9">
        <v>-0.123193025744501</v>
      </c>
      <c r="I23" s="9">
        <v>-0.45167250373173201</v>
      </c>
      <c r="J23" s="9">
        <v>-0.64484637907673203</v>
      </c>
      <c r="K23" s="9">
        <v>-0.64484637907673203</v>
      </c>
      <c r="M23" s="11">
        <v>272</v>
      </c>
      <c r="N23" s="9">
        <v>-0.14897857146649501</v>
      </c>
      <c r="O23" s="9">
        <v>4.0633691089045597E-2</v>
      </c>
      <c r="P23" s="9">
        <v>0.19795311077488201</v>
      </c>
      <c r="Q23" s="9">
        <v>0.19795311077488201</v>
      </c>
    </row>
    <row r="24" spans="1:17" ht="15.6" x14ac:dyDescent="0.3">
      <c r="A24" s="11">
        <v>273</v>
      </c>
      <c r="B24" s="9">
        <v>0.85792135545667203</v>
      </c>
      <c r="C24" s="9">
        <v>0.92243031291548705</v>
      </c>
      <c r="D24" s="9">
        <v>0.95575606804267799</v>
      </c>
      <c r="E24" s="9">
        <v>0.95677202758731095</v>
      </c>
      <c r="G24" s="11">
        <v>273</v>
      </c>
      <c r="H24" s="9">
        <v>-0.11511010350528</v>
      </c>
      <c r="I24" s="9">
        <v>-0.44441394181551702</v>
      </c>
      <c r="J24" s="9">
        <v>-0.64153524507616499</v>
      </c>
      <c r="K24" s="9">
        <v>-0.64784400390716901</v>
      </c>
      <c r="M24" s="11">
        <v>273</v>
      </c>
      <c r="N24" s="9">
        <v>-0.15209820673077501</v>
      </c>
      <c r="O24" s="9">
        <v>3.5433591349707701E-2</v>
      </c>
      <c r="P24" s="9">
        <v>0.19499639111991901</v>
      </c>
      <c r="Q24" s="9">
        <v>0.20064157977598099</v>
      </c>
    </row>
    <row r="25" spans="1:17" ht="15.6" x14ac:dyDescent="0.3">
      <c r="A25" s="11">
        <v>274</v>
      </c>
      <c r="B25" s="9">
        <v>0.85613909750433903</v>
      </c>
      <c r="C25" s="9">
        <v>0.92112530351256705</v>
      </c>
      <c r="D25" s="9">
        <v>0.95519866484575</v>
      </c>
      <c r="E25" s="9">
        <v>0.95721568395536605</v>
      </c>
      <c r="G25" s="11">
        <v>274</v>
      </c>
      <c r="H25" s="9">
        <v>-0.107075532819025</v>
      </c>
      <c r="I25" s="9">
        <v>-0.43712562709326402</v>
      </c>
      <c r="J25" s="9">
        <v>-0.63808420478507499</v>
      </c>
      <c r="K25" s="9">
        <v>-0.65060437347593303</v>
      </c>
      <c r="M25" s="11">
        <v>274</v>
      </c>
      <c r="N25" s="9">
        <v>-0.155126810688166</v>
      </c>
      <c r="O25" s="9">
        <v>3.0263237464498199E-2</v>
      </c>
      <c r="P25" s="9">
        <v>0.191927096540039</v>
      </c>
      <c r="Q25" s="9">
        <v>0.20312131115423401</v>
      </c>
    </row>
    <row r="26" spans="1:17" ht="15.6" x14ac:dyDescent="0.3">
      <c r="A26" s="11">
        <v>275</v>
      </c>
      <c r="B26" s="9">
        <v>0.85435630801858198</v>
      </c>
      <c r="C26" s="9">
        <v>0.91980986939190801</v>
      </c>
      <c r="D26" s="9">
        <v>0.95461819907408096</v>
      </c>
      <c r="E26" s="9">
        <v>0.95762159073514297</v>
      </c>
      <c r="G26" s="11">
        <v>275</v>
      </c>
      <c r="H26" s="9">
        <v>-9.9090038999054095E-2</v>
      </c>
      <c r="I26" s="9">
        <v>-0.429810250135371</v>
      </c>
      <c r="J26" s="9">
        <v>-0.63449756349487796</v>
      </c>
      <c r="K26" s="9">
        <v>-0.65313169051367403</v>
      </c>
      <c r="M26" s="11">
        <v>275</v>
      </c>
      <c r="N26" s="9">
        <v>-0.15806508628457799</v>
      </c>
      <c r="O26" s="9">
        <v>2.51251749266721E-2</v>
      </c>
      <c r="P26" s="9">
        <v>0.18875035587346101</v>
      </c>
      <c r="Q26" s="9">
        <v>0.205394834262455</v>
      </c>
    </row>
    <row r="27" spans="1:17" ht="15.6" x14ac:dyDescent="0.3">
      <c r="A27" s="11">
        <v>276</v>
      </c>
      <c r="B27" s="9">
        <v>0.85257316746572098</v>
      </c>
      <c r="C27" s="9">
        <v>0.918484368952873</v>
      </c>
      <c r="D27" s="9">
        <v>0.95401523336305105</v>
      </c>
      <c r="E27" s="9">
        <v>0.95799052062260304</v>
      </c>
      <c r="G27" s="11">
        <v>276</v>
      </c>
      <c r="H27" s="9">
        <v>-9.1154302833833495E-2</v>
      </c>
      <c r="I27" s="9">
        <v>-0.42247042116177103</v>
      </c>
      <c r="J27" s="9">
        <v>-0.63077954854125595</v>
      </c>
      <c r="K27" s="9">
        <v>-0.65543015136767502</v>
      </c>
      <c r="M27" s="11">
        <v>276</v>
      </c>
      <c r="N27" s="9">
        <v>-0.16091377310538699</v>
      </c>
      <c r="O27" s="9">
        <v>2.00218277645773E-2</v>
      </c>
      <c r="P27" s="9">
        <v>0.185471215601232</v>
      </c>
      <c r="Q27" s="9">
        <v>0.207464831561299</v>
      </c>
    </row>
    <row r="28" spans="1:17" ht="15.6" x14ac:dyDescent="0.3">
      <c r="A28" s="11">
        <v>277</v>
      </c>
      <c r="B28" s="9">
        <v>0.85078985097859705</v>
      </c>
      <c r="C28" s="9">
        <v>0.91714915187162005</v>
      </c>
      <c r="D28" s="9">
        <v>0.95339031819346398</v>
      </c>
      <c r="E28" s="9">
        <v>0.95832323127905705</v>
      </c>
      <c r="G28" s="11">
        <v>277</v>
      </c>
      <c r="H28" s="9">
        <v>-8.3268962133876204E-2</v>
      </c>
      <c r="I28" s="9">
        <v>-0.41510867184339001</v>
      </c>
      <c r="J28" s="9">
        <v>-0.62693430958515095</v>
      </c>
      <c r="K28" s="9">
        <v>-0.65750394268725998</v>
      </c>
      <c r="M28" s="11">
        <v>277</v>
      </c>
      <c r="N28" s="9">
        <v>-0.163673644909688</v>
      </c>
      <c r="O28" s="9">
        <v>1.49555017264968E-2</v>
      </c>
      <c r="P28" s="9">
        <v>0.18209463730786599</v>
      </c>
      <c r="Q28" s="9">
        <v>0.20933412699617299</v>
      </c>
    </row>
    <row r="29" spans="1:17" ht="15.6" x14ac:dyDescent="0.3">
      <c r="A29" s="11">
        <v>278</v>
      </c>
      <c r="B29" s="9">
        <v>0.84900652850130498</v>
      </c>
      <c r="C29" s="9">
        <v>0.91580455931422999</v>
      </c>
      <c r="D29" s="9">
        <v>0.95274399216081795</v>
      </c>
      <c r="E29" s="9">
        <v>0.95862046562655701</v>
      </c>
      <c r="G29" s="11">
        <v>278</v>
      </c>
      <c r="H29" s="9">
        <v>-7.5434613232914297E-2</v>
      </c>
      <c r="I29" s="9">
        <v>-0.407727457080372</v>
      </c>
      <c r="J29" s="9">
        <v>-0.62296591895983999</v>
      </c>
      <c r="K29" s="9">
        <v>-0.65935723830656801</v>
      </c>
      <c r="M29" s="11">
        <v>278</v>
      </c>
      <c r="N29" s="9">
        <v>-0.16634550726501901</v>
      </c>
      <c r="O29" s="9">
        <v>9.9283874482050394E-3</v>
      </c>
      <c r="P29" s="9">
        <v>0.178625495434272</v>
      </c>
      <c r="Q29" s="9">
        <v>0.21100567481547799</v>
      </c>
    </row>
    <row r="30" spans="1:17" ht="15.6" x14ac:dyDescent="0.3">
      <c r="A30" s="11">
        <v>279</v>
      </c>
      <c r="B30" s="9">
        <v>0.84722336492985295</v>
      </c>
      <c r="C30" s="9">
        <v>0.91445092414436302</v>
      </c>
      <c r="D30" s="9">
        <v>0.95207678223842995</v>
      </c>
      <c r="E30" s="9">
        <v>0.95888295213774299</v>
      </c>
      <c r="G30" s="11">
        <v>279</v>
      </c>
      <c r="H30" s="9">
        <v>-6.7651812444478598E-2</v>
      </c>
      <c r="I30" s="9">
        <v>-0.400329156756354</v>
      </c>
      <c r="J30" s="9">
        <v>-0.61887837207932395</v>
      </c>
      <c r="K30" s="9">
        <v>-0.66099419631631995</v>
      </c>
      <c r="M30" s="11">
        <v>279</v>
      </c>
      <c r="N30" s="9">
        <v>-0.16893019527952599</v>
      </c>
      <c r="O30" s="9">
        <v>4.94256359870368E-3</v>
      </c>
      <c r="P30" s="9">
        <v>0.175068575307014</v>
      </c>
      <c r="Q30" s="9">
        <v>0.21248254882415901</v>
      </c>
    </row>
    <row r="31" spans="1:17" ht="15.6" x14ac:dyDescent="0.3">
      <c r="A31" s="11">
        <v>280</v>
      </c>
      <c r="B31" s="9">
        <v>0.84544052024887895</v>
      </c>
      <c r="C31" s="9">
        <v>0.91308857112560504</v>
      </c>
      <c r="D31" s="9">
        <v>0.95138920403457505</v>
      </c>
      <c r="E31" s="9">
        <v>0.95911140512022897</v>
      </c>
      <c r="G31" s="11">
        <v>280</v>
      </c>
      <c r="H31" s="9">
        <v>-5.9921077475018E-2</v>
      </c>
      <c r="I31" s="9">
        <v>-0.39291607746812102</v>
      </c>
      <c r="J31" s="9">
        <v>-0.61467558790355403</v>
      </c>
      <c r="K31" s="9">
        <v>-0.66241895631652603</v>
      </c>
      <c r="M31" s="11">
        <v>280</v>
      </c>
      <c r="N31" s="9">
        <v>-0.17142857142857101</v>
      </c>
      <c r="O31" s="9">
        <v>0</v>
      </c>
      <c r="P31" s="9">
        <v>0.17142857142857101</v>
      </c>
      <c r="Q31" s="9">
        <v>0.21376793206585201</v>
      </c>
    </row>
    <row r="32" spans="1:17" ht="15.6" x14ac:dyDescent="0.3">
      <c r="A32" s="11">
        <v>281</v>
      </c>
      <c r="B32" s="9">
        <v>0.843658149664538</v>
      </c>
      <c r="C32" s="9">
        <v>0.91171781711864097</v>
      </c>
      <c r="D32" s="9">
        <v>0.950681762043739</v>
      </c>
      <c r="E32" s="9">
        <v>0.95930652499559599</v>
      </c>
      <c r="G32" s="11">
        <v>281</v>
      </c>
      <c r="H32" s="9">
        <v>-5.2242888794667701E-2</v>
      </c>
      <c r="I32" s="9">
        <v>-0.38549045423008499</v>
      </c>
      <c r="J32" s="9">
        <v>-0.61036140945619699</v>
      </c>
      <c r="K32" s="9">
        <v>-0.66363563684231497</v>
      </c>
      <c r="M32" s="11">
        <v>281</v>
      </c>
      <c r="N32" s="9">
        <v>-0.17384152347284201</v>
      </c>
      <c r="O32" s="9">
        <v>-4.8974392828183303E-3</v>
      </c>
      <c r="P32" s="9">
        <v>0.167710086013833</v>
      </c>
      <c r="Q32" s="9">
        <v>0.21486510692629901</v>
      </c>
    </row>
    <row r="33" spans="1:17" ht="15.6" x14ac:dyDescent="0.3">
      <c r="A33" s="11">
        <v>282</v>
      </c>
      <c r="B33" s="9">
        <v>0.841876403733676</v>
      </c>
      <c r="C33" s="9">
        <v>0.91033897127339303</v>
      </c>
      <c r="D33" s="9">
        <v>0.94995494989215901</v>
      </c>
      <c r="E33" s="9">
        <v>0.95946899857307899</v>
      </c>
      <c r="G33" s="11">
        <v>282</v>
      </c>
      <c r="H33" s="9">
        <v>-4.4617690966751597E-2</v>
      </c>
      <c r="I33" s="9">
        <v>-0.37805445215308398</v>
      </c>
      <c r="J33" s="9">
        <v>-0.60593960439092898</v>
      </c>
      <c r="K33" s="9">
        <v>-0.66464833295535497</v>
      </c>
      <c r="M33" s="11">
        <v>282</v>
      </c>
      <c r="N33" s="9">
        <v>-0.176169962465069</v>
      </c>
      <c r="O33" s="9">
        <v>-9.7479928846135808E-3</v>
      </c>
      <c r="P33" s="9">
        <v>0.16391762775865901</v>
      </c>
      <c r="Q33" s="9">
        <v>0.21577744565021001</v>
      </c>
    </row>
    <row r="34" spans="1:17" ht="15.6" x14ac:dyDescent="0.3">
      <c r="A34" s="11">
        <v>283</v>
      </c>
      <c r="B34" s="9">
        <v>0.84009542848938801</v>
      </c>
      <c r="C34" s="9">
        <v>0.90895233521625995</v>
      </c>
      <c r="D34" s="9">
        <v>0.94920925057774497</v>
      </c>
      <c r="E34" s="9">
        <v>0.95959949931802901</v>
      </c>
      <c r="G34" s="11">
        <v>283</v>
      </c>
      <c r="H34" s="9">
        <v>-3.7045893937095398E-2</v>
      </c>
      <c r="I34" s="9">
        <v>-0.37061016809710301</v>
      </c>
      <c r="J34" s="9">
        <v>-0.60141386560238796</v>
      </c>
      <c r="K34" s="9">
        <v>-0.66546111399358798</v>
      </c>
      <c r="M34" s="11">
        <v>283</v>
      </c>
      <c r="N34" s="9">
        <v>-0.17841482084249299</v>
      </c>
      <c r="O34" s="9">
        <v>-1.45499991193908E-2</v>
      </c>
      <c r="P34" s="9">
        <v>0.16005561082688999</v>
      </c>
      <c r="Q34" s="9">
        <v>0.21650840126323301</v>
      </c>
    </row>
    <row r="35" spans="1:17" ht="15.6" x14ac:dyDescent="0.3">
      <c r="A35" s="11">
        <v>284</v>
      </c>
      <c r="B35" s="9">
        <v>0.83831536556308694</v>
      </c>
      <c r="C35" s="9">
        <v>0.90755820323257996</v>
      </c>
      <c r="D35" s="9">
        <v>0.94844513670453601</v>
      </c>
      <c r="E35" s="9">
        <v>0.95969868761521704</v>
      </c>
      <c r="G35" s="11">
        <v>284</v>
      </c>
      <c r="H35" s="9">
        <v>-2.95278742842052E-2</v>
      </c>
      <c r="I35" s="9">
        <v>-0.36315963229756099</v>
      </c>
      <c r="J35" s="9">
        <v>-0.59678781187819896</v>
      </c>
      <c r="K35" s="9">
        <v>-0.66607802147226203</v>
      </c>
      <c r="M35" s="11">
        <v>284</v>
      </c>
      <c r="N35" s="9">
        <v>-0.180577050602302</v>
      </c>
      <c r="O35" s="9">
        <v>-1.9301892998404999E-2</v>
      </c>
      <c r="P35" s="9">
        <v>0.156128354042749</v>
      </c>
      <c r="Q35" s="9">
        <v>0.21706149889037701</v>
      </c>
    </row>
    <row r="36" spans="1:17" ht="15.6" x14ac:dyDescent="0.3">
      <c r="A36" s="11">
        <v>285</v>
      </c>
      <c r="B36" s="9">
        <v>0.83653635230317502</v>
      </c>
      <c r="C36" s="9">
        <v>0.90615686244446503</v>
      </c>
      <c r="D36" s="9">
        <v>0.94766307071179201</v>
      </c>
      <c r="E36" s="9">
        <v>0.95976721102707996</v>
      </c>
      <c r="G36" s="11">
        <v>285</v>
      </c>
      <c r="H36" s="9">
        <v>-2.2063976431342201E-2</v>
      </c>
      <c r="I36" s="9">
        <v>-0.35570480996489001</v>
      </c>
      <c r="J36" s="9">
        <v>-0.59206498858860401</v>
      </c>
      <c r="K36" s="9">
        <v>-0.66650306712947904</v>
      </c>
      <c r="M36" s="11">
        <v>285</v>
      </c>
      <c r="N36" s="9">
        <v>-0.18265762155729401</v>
      </c>
      <c r="O36" s="9">
        <v>-2.4002203289638001E-2</v>
      </c>
      <c r="P36" s="9">
        <v>0.152140080276121</v>
      </c>
      <c r="Q36" s="9">
        <v>0.21744032746184</v>
      </c>
    </row>
    <row r="37" spans="1:17" ht="15.6" x14ac:dyDescent="0.3">
      <c r="A37" s="11">
        <v>286</v>
      </c>
      <c r="B37" s="9">
        <v>0.834758521890407</v>
      </c>
      <c r="C37" s="9">
        <v>0.90474859298410304</v>
      </c>
      <c r="D37" s="9">
        <v>0.94686350509786998</v>
      </c>
      <c r="E37" s="9">
        <v>0.95980570454696301</v>
      </c>
      <c r="G37" s="11">
        <v>286</v>
      </c>
      <c r="H37" s="9">
        <v>-1.4654513821513599E-2</v>
      </c>
      <c r="I37" s="9">
        <v>-0.34824760285717599</v>
      </c>
      <c r="J37" s="9">
        <v>-0.58724886841047996</v>
      </c>
      <c r="K37" s="9">
        <v>-0.666740231109748</v>
      </c>
      <c r="M37" s="11">
        <v>286</v>
      </c>
      <c r="N37" s="9">
        <v>-0.18465751966907201</v>
      </c>
      <c r="O37" s="9">
        <v>-2.8649549620824499E-2</v>
      </c>
      <c r="P37" s="9">
        <v>0.14809491600871499</v>
      </c>
      <c r="Q37" s="9">
        <v>0.21764853179695601</v>
      </c>
    </row>
    <row r="38" spans="1:17" ht="15.6" x14ac:dyDescent="0.3">
      <c r="A38" s="11">
        <v>287</v>
      </c>
      <c r="B38" s="9">
        <v>0.832982003450074</v>
      </c>
      <c r="C38" s="9">
        <v>0.90333366816267002</v>
      </c>
      <c r="D38" s="9">
        <v>0.94604688263898096</v>
      </c>
      <c r="E38" s="9">
        <v>0.95981479084746302</v>
      </c>
      <c r="G38" s="11">
        <v>287</v>
      </c>
      <c r="H38" s="9">
        <v>-7.2997700563721202E-3</v>
      </c>
      <c r="I38" s="9">
        <v>-0.340789850825713</v>
      </c>
      <c r="J38" s="9">
        <v>-0.58234285208265302</v>
      </c>
      <c r="K38" s="9">
        <v>-0.66679346027923603</v>
      </c>
      <c r="M38" s="11">
        <v>287</v>
      </c>
      <c r="N38" s="9">
        <v>-0.18657774545617001</v>
      </c>
      <c r="O38" s="9">
        <v>-3.3242639627955498E-2</v>
      </c>
      <c r="P38" s="9">
        <v>0.14399689106966099</v>
      </c>
      <c r="Q38" s="9">
        <v>0.21768980505674501</v>
      </c>
    </row>
    <row r="39" spans="1:17" ht="15.6" x14ac:dyDescent="0.3">
      <c r="A39" s="11">
        <v>288</v>
      </c>
      <c r="B39" s="9">
        <v>0.83120692216106196</v>
      </c>
      <c r="C39" s="9">
        <v>0.901912354634962</v>
      </c>
      <c r="D39" s="9">
        <v>0.94521363660295199</v>
      </c>
      <c r="E39" s="9">
        <v>0.95979508052393903</v>
      </c>
      <c r="G39" s="11">
        <v>288</v>
      </c>
      <c r="H39" s="9">
        <v>0</v>
      </c>
      <c r="I39" s="9">
        <v>-0.33333333333333298</v>
      </c>
      <c r="J39" s="9">
        <v>-0.57735026918962595</v>
      </c>
      <c r="K39" s="9">
        <v>-0.66666666666666696</v>
      </c>
      <c r="M39" s="11">
        <v>288</v>
      </c>
      <c r="N39" s="9">
        <v>-0.18841931247452301</v>
      </c>
      <c r="O39" s="9">
        <v>-3.77802661509462E-2</v>
      </c>
      <c r="P39" s="9">
        <v>0.139849938529547</v>
      </c>
      <c r="Q39" s="9">
        <v>0.21756788155538001</v>
      </c>
    </row>
    <row r="40" spans="1:17" ht="15.6" x14ac:dyDescent="0.3">
      <c r="A40" s="11">
        <v>289</v>
      </c>
      <c r="B40" s="9">
        <v>0.82943339936190696</v>
      </c>
      <c r="C40" s="9">
        <v>0.90048491255985597</v>
      </c>
      <c r="D40" s="9">
        <v>0.94436419095811597</v>
      </c>
      <c r="E40" s="9">
        <v>0.959747172333271</v>
      </c>
      <c r="G40" s="11">
        <v>289</v>
      </c>
      <c r="H40" s="9">
        <v>7.2445691514603098E-3</v>
      </c>
      <c r="I40" s="9">
        <v>-0.325879770945467</v>
      </c>
      <c r="J40" s="9">
        <v>-0.572274378970974</v>
      </c>
      <c r="K40" s="9">
        <v>-0.66636372602403504</v>
      </c>
      <c r="M40" s="11">
        <v>289</v>
      </c>
      <c r="N40" s="9">
        <v>-0.19018324586778501</v>
      </c>
      <c r="O40" s="9">
        <v>-4.2261304477928703E-2</v>
      </c>
      <c r="P40" s="9">
        <v>0.135657894742439</v>
      </c>
      <c r="Q40" s="9">
        <v>0.21728652992074099</v>
      </c>
    </row>
    <row r="41" spans="1:17" ht="15.6" x14ac:dyDescent="0.3">
      <c r="A41" s="11">
        <v>290</v>
      </c>
      <c r="B41" s="9">
        <v>0.82766155265391805</v>
      </c>
      <c r="C41" s="9">
        <v>0.89905159575671401</v>
      </c>
      <c r="D41" s="9">
        <v>0.94349896057743399</v>
      </c>
      <c r="E41" s="9">
        <v>0.95967165342794902</v>
      </c>
      <c r="G41" s="11">
        <v>290</v>
      </c>
      <c r="H41" s="9">
        <v>1.4433736833402801E-2</v>
      </c>
      <c r="I41" s="9">
        <v>-0.318430826793898</v>
      </c>
      <c r="J41" s="9">
        <v>-0.56711837115382802</v>
      </c>
      <c r="K41" s="9">
        <v>-0.66588847650150595</v>
      </c>
      <c r="M41" s="11">
        <v>290</v>
      </c>
      <c r="N41" s="9">
        <v>-0.191870580985051</v>
      </c>
      <c r="O41" s="9">
        <v>-4.66847096394295E-2</v>
      </c>
      <c r="P41" s="9">
        <v>0.13142449952587401</v>
      </c>
      <c r="Q41" s="9">
        <v>0.216849546594163</v>
      </c>
    </row>
    <row r="42" spans="1:17" ht="15.6" x14ac:dyDescent="0.3">
      <c r="A42" s="11">
        <v>291</v>
      </c>
      <c r="B42" s="9">
        <v>0.82589149600146405</v>
      </c>
      <c r="C42" s="9">
        <v>0.897612651857848</v>
      </c>
      <c r="D42" s="9">
        <v>0.94261835143795503</v>
      </c>
      <c r="E42" s="9">
        <v>0.95956909958557401</v>
      </c>
      <c r="G42" s="11">
        <v>291</v>
      </c>
      <c r="H42" s="9">
        <v>2.1567328108657101E-2</v>
      </c>
      <c r="I42" s="9">
        <v>-0.31098810801323301</v>
      </c>
      <c r="J42" s="9">
        <v>-0.56188536680599799</v>
      </c>
      <c r="K42" s="9">
        <v>-0.66524471743112001</v>
      </c>
      <c r="M42" s="11">
        <v>291</v>
      </c>
      <c r="N42" s="9">
        <v>-0.19348236206358599</v>
      </c>
      <c r="O42" s="9">
        <v>-5.10495137534933E-2</v>
      </c>
      <c r="P42" s="9">
        <v>0.127153396469281</v>
      </c>
      <c r="Q42" s="9">
        <v>0.21626074965939501</v>
      </c>
    </row>
    <row r="43" spans="1:17" ht="15.6" x14ac:dyDescent="0.3">
      <c r="A43" s="11">
        <v>292</v>
      </c>
      <c r="B43" s="9">
        <v>0.82412333982949604</v>
      </c>
      <c r="C43" s="9">
        <v>0.89616832245712896</v>
      </c>
      <c r="D43" s="9">
        <v>0.94172276081572903</v>
      </c>
      <c r="E43" s="9">
        <v>0.95944007543384102</v>
      </c>
      <c r="G43" s="11">
        <v>292</v>
      </c>
      <c r="H43" s="9">
        <v>2.86451926947957E-2</v>
      </c>
      <c r="I43" s="9">
        <v>-0.30355316715015201</v>
      </c>
      <c r="J43" s="9">
        <v>-0.55657841920745699</v>
      </c>
      <c r="K43" s="9">
        <v>-0.66443620821407801</v>
      </c>
      <c r="M43" s="11">
        <v>292</v>
      </c>
      <c r="N43" s="9">
        <v>-0.19501964097424901</v>
      </c>
      <c r="O43" s="9">
        <v>-5.53548234226338E-2</v>
      </c>
      <c r="P43" s="9">
        <v>0.122848133361733</v>
      </c>
      <c r="Q43" s="9">
        <v>0.215523972990809</v>
      </c>
    </row>
    <row r="44" spans="1:17" ht="15.6" x14ac:dyDescent="0.3">
      <c r="A44" s="11">
        <v>293</v>
      </c>
      <c r="B44" s="9">
        <v>0.822357191118394</v>
      </c>
      <c r="C44" s="9">
        <v>0.89471884325486395</v>
      </c>
      <c r="D44" s="9">
        <v>0.94081257747628499</v>
      </c>
      <c r="E44" s="9">
        <v>0.959285134671088</v>
      </c>
      <c r="G44" s="11">
        <v>293</v>
      </c>
      <c r="H44" s="9">
        <v>3.56672040219769E-2</v>
      </c>
      <c r="I44" s="9">
        <v>-0.29612750354550499</v>
      </c>
      <c r="J44" s="9">
        <v>-0.55120051473800602</v>
      </c>
      <c r="K44" s="9">
        <v>-0.66346666730663695</v>
      </c>
      <c r="M44" s="11">
        <v>293</v>
      </c>
      <c r="N44" s="9">
        <v>-0.19648347602734501</v>
      </c>
      <c r="O44" s="9">
        <v>-5.9599817183334902E-2</v>
      </c>
      <c r="P44" s="9">
        <v>0.11851216273036801</v>
      </c>
      <c r="Q44" s="9">
        <v>0.21464306071086101</v>
      </c>
    </row>
    <row r="45" spans="1:17" ht="15.6" x14ac:dyDescent="0.3">
      <c r="A45" s="11">
        <v>294</v>
      </c>
      <c r="B45" s="9">
        <v>0.82059315349621198</v>
      </c>
      <c r="C45" s="9">
        <v>0.89326444419902395</v>
      </c>
      <c r="D45" s="9">
        <v>0.93988818186074896</v>
      </c>
      <c r="E45" s="9">
        <v>0.959104820282496</v>
      </c>
      <c r="G45" s="11">
        <v>294</v>
      </c>
      <c r="H45" s="9">
        <v>4.2633258320459597E-2</v>
      </c>
      <c r="I45" s="9">
        <v>-0.28871256468940198</v>
      </c>
      <c r="J45" s="9">
        <v>-0.54575457377907899</v>
      </c>
      <c r="K45" s="9">
        <v>-0.66233977129979904</v>
      </c>
      <c r="M45" s="11">
        <v>294</v>
      </c>
      <c r="N45" s="9">
        <v>-0.197874930836689</v>
      </c>
      <c r="O45" s="9">
        <v>-6.3783743008658494E-2</v>
      </c>
      <c r="P45" s="9">
        <v>0.114148842481235</v>
      </c>
      <c r="Q45" s="9">
        <v>0.21362186194688601</v>
      </c>
    </row>
    <row r="46" spans="1:17" ht="15.6" x14ac:dyDescent="0.3">
      <c r="A46" s="11">
        <v>295</v>
      </c>
      <c r="B46" s="9">
        <v>0.81883132732840103</v>
      </c>
      <c r="C46" s="9">
        <v>0.89180534962293101</v>
      </c>
      <c r="D46" s="9">
        <v>0.93894994626774297</v>
      </c>
      <c r="E46" s="9">
        <v>0.95889966475199795</v>
      </c>
      <c r="G46" s="11">
        <v>295</v>
      </c>
      <c r="H46" s="9">
        <v>4.9543273736959298E-2</v>
      </c>
      <c r="I46" s="9">
        <v>-0.281309747549433</v>
      </c>
      <c r="J46" s="9">
        <v>-0.54024345162778997</v>
      </c>
      <c r="K46" s="9">
        <v>-0.66105915408817695</v>
      </c>
      <c r="M46" s="11">
        <v>295</v>
      </c>
      <c r="N46" s="9">
        <v>-0.19919507323975499</v>
      </c>
      <c r="O46" s="9">
        <v>-6.7905915864379898E-2</v>
      </c>
      <c r="P46" s="9">
        <v>0.109761436634701</v>
      </c>
      <c r="Q46" s="9">
        <v>0.21246422587733299</v>
      </c>
    </row>
    <row r="47" spans="1:17" ht="15.6" x14ac:dyDescent="0.3">
      <c r="A47" s="11">
        <v>296</v>
      </c>
      <c r="B47" s="9">
        <v>0.81707180980507399</v>
      </c>
      <c r="C47" s="9">
        <v>0.89034177837948802</v>
      </c>
      <c r="D47" s="9">
        <v>0.93799823503112001</v>
      </c>
      <c r="E47" s="9">
        <v>0.958670190269994</v>
      </c>
      <c r="G47" s="11">
        <v>296</v>
      </c>
      <c r="H47" s="9">
        <v>5.6397189479023398E-2</v>
      </c>
      <c r="I47" s="9">
        <v>-0.27392039987219502</v>
      </c>
      <c r="J47" s="9">
        <v>-0.53466993942138896</v>
      </c>
      <c r="K47" s="9">
        <v>-0.65962840612362506</v>
      </c>
      <c r="M47" s="11">
        <v>296</v>
      </c>
      <c r="N47" s="9">
        <v>-0.20044497427181601</v>
      </c>
      <c r="O47" s="9">
        <v>-7.1965715318941206E-2</v>
      </c>
      <c r="P47" s="9">
        <v>0.105353116147995</v>
      </c>
      <c r="Q47" s="9">
        <v>0.21117399705765999</v>
      </c>
    </row>
    <row r="48" spans="1:17" ht="15.6" x14ac:dyDescent="0.3">
      <c r="A48" s="11">
        <v>297</v>
      </c>
      <c r="B48" s="9">
        <v>0.81531469502589105</v>
      </c>
      <c r="C48" s="9">
        <v>0.88887394397205499</v>
      </c>
      <c r="D48" s="9">
        <v>0.93703340469367302</v>
      </c>
      <c r="E48" s="9">
        <v>0.95841690893692999</v>
      </c>
      <c r="G48" s="11">
        <v>297</v>
      </c>
      <c r="H48" s="9">
        <v>6.3194964986630894E-2</v>
      </c>
      <c r="I48" s="9">
        <v>-0.266545821458331</v>
      </c>
      <c r="J48" s="9">
        <v>-0.52903676507046504</v>
      </c>
      <c r="K48" s="9">
        <v>-0.65805107374934801</v>
      </c>
      <c r="M48" s="11">
        <v>297</v>
      </c>
      <c r="N48" s="9">
        <v>-0.201625707192048</v>
      </c>
      <c r="O48" s="9">
        <v>-7.5962583207384707E-2</v>
      </c>
      <c r="P48" s="9">
        <v>0.100926959817776</v>
      </c>
      <c r="Q48" s="9">
        <v>0.20975501101617899</v>
      </c>
    </row>
    <row r="49" spans="1:17" ht="15.6" x14ac:dyDescent="0.3">
      <c r="A49" s="11">
        <v>298</v>
      </c>
      <c r="B49" s="9">
        <v>0.81356007408263697</v>
      </c>
      <c r="C49" s="9">
        <v>0.88740205468204103</v>
      </c>
      <c r="D49" s="9">
        <v>0.93605580417687595</v>
      </c>
      <c r="E49" s="9">
        <v>0.95814032296283402</v>
      </c>
      <c r="G49" s="11">
        <v>298</v>
      </c>
      <c r="H49" s="9">
        <v>6.9936579130232004E-2</v>
      </c>
      <c r="I49" s="9">
        <v>-0.25918726541129899</v>
      </c>
      <c r="J49" s="9">
        <v>-0.52334659419927398</v>
      </c>
      <c r="K49" s="9">
        <v>-0.65633065861044504</v>
      </c>
      <c r="M49" s="11">
        <v>298</v>
      </c>
      <c r="N49" s="9">
        <v>-0.20273834655963899</v>
      </c>
      <c r="O49" s="9">
        <v>-7.9896021349319002E-2</v>
      </c>
      <c r="P49" s="9">
        <v>9.6485955256029099E-2</v>
      </c>
      <c r="Q49" s="9">
        <v>0.20821109011029401</v>
      </c>
    </row>
    <row r="50" spans="1:17" ht="15.6" x14ac:dyDescent="0.3">
      <c r="A50" s="11">
        <v>299</v>
      </c>
      <c r="B50" s="9">
        <v>0.81180803513954303</v>
      </c>
      <c r="C50" s="9">
        <v>0.88592631369331998</v>
      </c>
      <c r="D50" s="9">
        <v>0.93506577494677601</v>
      </c>
      <c r="E50" s="9">
        <v>0.95784092486286199</v>
      </c>
      <c r="G50" s="11">
        <v>299</v>
      </c>
      <c r="H50" s="9">
        <v>7.6622029434474603E-2</v>
      </c>
      <c r="I50" s="9">
        <v>-0.25184593936011701</v>
      </c>
      <c r="J50" s="9">
        <v>-0.51760203109172698</v>
      </c>
      <c r="K50" s="9">
        <v>-0.654470617136933</v>
      </c>
      <c r="M50" s="11">
        <v>299</v>
      </c>
      <c r="N50" s="9">
        <v>-0.20378396735798901</v>
      </c>
      <c r="O50" s="9">
        <v>-8.3765589320872899E-2</v>
      </c>
      <c r="P50" s="9">
        <v>9.2032999932907297E-2</v>
      </c>
      <c r="Q50" s="9">
        <v>0.20654603963368501</v>
      </c>
    </row>
    <row r="51" spans="1:17" ht="15.6" x14ac:dyDescent="0.3">
      <c r="A51" s="11">
        <v>300</v>
      </c>
      <c r="B51" s="9">
        <v>0.81005866351143296</v>
      </c>
      <c r="C51" s="9">
        <v>0.88444691921354202</v>
      </c>
      <c r="D51" s="9">
        <v>0.93406365117610601</v>
      </c>
      <c r="E51" s="9">
        <v>0.95751919764895199</v>
      </c>
      <c r="G51" s="11">
        <v>300</v>
      </c>
      <c r="H51" s="9">
        <v>8.3251331326866795E-2</v>
      </c>
      <c r="I51" s="9">
        <v>-0.24452300665635501</v>
      </c>
      <c r="J51" s="9">
        <v>-0.51180561964161397</v>
      </c>
      <c r="K51" s="9">
        <v>-0.65247436009551596</v>
      </c>
      <c r="M51" s="11">
        <v>300</v>
      </c>
      <c r="N51" s="9">
        <v>-0.204763644165149</v>
      </c>
      <c r="O51" s="9">
        <v>-8.7570902280483698E-2</v>
      </c>
      <c r="P51" s="9">
        <v>8.7570902280483698E-2</v>
      </c>
      <c r="Q51" s="9">
        <v>0.204763644165149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kw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2015-06-05T18:17:20Z</dcterms:created>
  <dcterms:modified xsi:type="dcterms:W3CDTF">2022-07-06T20:45:07Z</dcterms:modified>
</cp:coreProperties>
</file>